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IBGH_SEDE\Desktop\Fluxo de Caixa Heelj\2016\08\"/>
    </mc:Choice>
  </mc:AlternateContent>
  <xr:revisionPtr revIDLastSave="0" documentId="13_ncr:1_{813529D8-924E-4AEC-8527-FE67F0AD8118}" xr6:coauthVersionLast="47" xr6:coauthVersionMax="47" xr10:uidLastSave="{00000000-0000-0000-0000-000000000000}"/>
  <bookViews>
    <workbookView xWindow="-108" yWindow="-108" windowWidth="23256" windowHeight="12576" tabRatio="787" firstSheet="1" activeTab="1" xr2:uid="{00000000-000D-0000-FFFF-FFFF00000000}"/>
  </bookViews>
  <sheets>
    <sheet name="6.4 - FLUXO CAIXA" sheetId="1" state="hidden" r:id="rId1"/>
    <sheet name="Base -Receita-Despesa" sheetId="3" r:id="rId2"/>
    <sheet name="6.5 - PESSOAL" sheetId="2" state="hidden" r:id="rId3"/>
    <sheet name="HEELJ - Saldos Bancários" sheetId="9" r:id="rId4"/>
    <sheet name="Conciliação Bancária 2016.17.18" sheetId="7" r:id="rId5"/>
    <sheet name="DE-PARA" sheetId="6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4" hidden="1">'Conciliação Bancária 2016.17.18'!$B$3:$L$3</definedName>
    <definedName name="_xlnm._FilterDatabase" localSheetId="5" hidden="1">'DE-PARA'!$B$3:$D$117</definedName>
    <definedName name="a" localSheetId="4">#REF!</definedName>
    <definedName name="a">#REF!</definedName>
    <definedName name="aaa" localSheetId="4">#REF!</definedName>
    <definedName name="aaa">#REF!</definedName>
    <definedName name="AnoCalendário" localSheetId="4">#REF!</definedName>
    <definedName name="AnoCalendário">#REF!</definedName>
    <definedName name="BOLETO" comment="TRANSFERENCIAS" localSheetId="4">#REF!</definedName>
    <definedName name="BOLETO" comment="TRANSFERENCIAS">#REF!</definedName>
    <definedName name="cobrança8">[1]!Tabela2[DESCRIÇÃO]</definedName>
    <definedName name="Descrição8">[1]!Tabela2[DESCRIÇÃO]</definedName>
    <definedName name="DiasESemanas" localSheetId="4">{0,1,2,3,4,5,6} + {0;1;2;3;4;5}*7</definedName>
    <definedName name="DiasESemanas">{0,1,2,3,4,5,6} + {0;1;2;3;4;5}*7</definedName>
    <definedName name="Empresa">[1]!Tabela2[EMPRESA]</definedName>
    <definedName name="hthth">#REF!</definedName>
    <definedName name="inicio" localSheetId="4">#REF!</definedName>
    <definedName name="inicio">#REF!</definedName>
    <definedName name="IníciodaSemana" localSheetId="4">#REF!</definedName>
    <definedName name="IníciodaSemana">#REF!</definedName>
    <definedName name="knfdjnnbwav">#REF!</definedName>
    <definedName name="NATUREZA">[2]LISTA!$C$2:$C$79</definedName>
    <definedName name="profissão">'[3]Gera Arquivo'!$N$2:$N$181</definedName>
    <definedName name="tcr" localSheetId="4">#REF!</definedName>
    <definedName name="tcr">#REF!</definedName>
    <definedName name="títulos">[4]Orçamento!$B$9:$F$9,[4]Orçamento!$B$22:$F$22,[4]Orçamento!$B$36:$E$36,[4]Orçamento!$F$36,[4]Orçamento!$B$42:$F$42,[4]Orçamento!$B$49:$F$49,[4]Orçamento!$B$55:$F$55,[4]Orçamento!$B$64:$F$64,[4]Orçamento!$B$70:$F$70,[4]Orçamento!$B$77:$F$77,[4]Orçamento!$B$85:$F$85</definedName>
    <definedName name="TRANSFERENCIAS" localSheetId="4">#REF!</definedName>
    <definedName name="TRANSFERENCIAS">#REF!</definedName>
    <definedName name="TRDERF">#REF!</definedName>
    <definedName name="TRV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10" i="9" l="1"/>
  <c r="AM10" i="9"/>
  <c r="AL10" i="9"/>
  <c r="AK10" i="9"/>
  <c r="AJ10" i="9"/>
  <c r="AI10" i="9"/>
  <c r="AH10" i="9"/>
  <c r="AG10" i="9"/>
  <c r="AF10" i="9"/>
  <c r="E18" i="1" l="1"/>
  <c r="F18" i="1" s="1"/>
  <c r="G18" i="1" s="1"/>
  <c r="H18" i="1" s="1"/>
  <c r="I18" i="1" s="1"/>
  <c r="J2" i="7"/>
  <c r="D74" i="6" l="1"/>
  <c r="AO12" i="9" l="1"/>
  <c r="AP12" i="9" s="1"/>
  <c r="AQ12" i="9" s="1"/>
  <c r="AR12" i="9" s="1"/>
  <c r="AS12" i="9" s="1"/>
  <c r="AT12" i="9" s="1"/>
  <c r="AU12" i="9" s="1"/>
  <c r="AV12" i="9" s="1"/>
  <c r="AW12" i="9" s="1"/>
  <c r="AX12" i="9" s="1"/>
  <c r="AY12" i="9" s="1"/>
  <c r="AZ12" i="9" s="1"/>
  <c r="BA12" i="9" s="1"/>
  <c r="BB12" i="9" s="1"/>
  <c r="BC12" i="9" s="1"/>
  <c r="BD12" i="9" s="1"/>
  <c r="BE12" i="9" s="1"/>
  <c r="BF12" i="9" s="1"/>
  <c r="BG12" i="9" s="1"/>
  <c r="BH12" i="9" s="1"/>
  <c r="BI12" i="9" s="1"/>
  <c r="BJ12" i="9" s="1"/>
  <c r="BK12" i="9" s="1"/>
  <c r="BL12" i="9" s="1"/>
  <c r="BM12" i="9" s="1"/>
  <c r="BN12" i="9" s="1"/>
  <c r="BO12" i="9" s="1"/>
  <c r="BP12" i="9" s="1"/>
  <c r="BQ12" i="9" s="1"/>
  <c r="BR12" i="9" s="1"/>
  <c r="BS12" i="9" s="1"/>
  <c r="BT12" i="9" s="1"/>
  <c r="BU12" i="9" s="1"/>
  <c r="BV12" i="9" s="1"/>
  <c r="BW12" i="9" s="1"/>
  <c r="BX12" i="9" s="1"/>
  <c r="AP10" i="9"/>
  <c r="AQ10" i="9"/>
  <c r="AR10" i="9"/>
  <c r="AS10" i="9"/>
  <c r="AT10" i="9"/>
  <c r="AU10" i="9"/>
  <c r="AV10" i="9"/>
  <c r="AW10" i="9"/>
  <c r="AX10" i="9"/>
  <c r="AY10" i="9"/>
  <c r="AZ10" i="9"/>
  <c r="BA10" i="9"/>
  <c r="BB10" i="9"/>
  <c r="BC10" i="9"/>
  <c r="BD10" i="9"/>
  <c r="BE10" i="9"/>
  <c r="BF10" i="9"/>
  <c r="BG10" i="9"/>
  <c r="BH10" i="9"/>
  <c r="BI10" i="9"/>
  <c r="BJ10" i="9"/>
  <c r="BK10" i="9"/>
  <c r="BL10" i="9"/>
  <c r="BM10" i="9"/>
  <c r="BN10" i="9"/>
  <c r="BO10" i="9"/>
  <c r="BP10" i="9"/>
  <c r="BQ10" i="9"/>
  <c r="BR10" i="9"/>
  <c r="BS10" i="9"/>
  <c r="BT10" i="9"/>
  <c r="BU10" i="9"/>
  <c r="BV10" i="9"/>
  <c r="BW10" i="9"/>
  <c r="BX10" i="9"/>
  <c r="AP20" i="9"/>
  <c r="AQ20" i="9"/>
  <c r="AR20" i="9"/>
  <c r="AS20" i="9"/>
  <c r="AT20" i="9"/>
  <c r="AU20" i="9"/>
  <c r="AV20" i="9"/>
  <c r="AW20" i="9"/>
  <c r="AX20" i="9"/>
  <c r="AY20" i="9"/>
  <c r="AZ20" i="9"/>
  <c r="BA20" i="9"/>
  <c r="BB19" i="9" s="1"/>
  <c r="BB20" i="9"/>
  <c r="BC20" i="9"/>
  <c r="BD20" i="9"/>
  <c r="BE20" i="9"/>
  <c r="BF19" i="9" s="1"/>
  <c r="BF20" i="9"/>
  <c r="BG20" i="9"/>
  <c r="BH19" i="9" s="1"/>
  <c r="BH20" i="9"/>
  <c r="BI20" i="9"/>
  <c r="BJ20" i="9"/>
  <c r="BK20" i="9"/>
  <c r="BL20" i="9"/>
  <c r="BM20" i="9"/>
  <c r="BN20" i="9"/>
  <c r="BO20" i="9"/>
  <c r="BP20" i="9"/>
  <c r="BQ20" i="9"/>
  <c r="BR20" i="9"/>
  <c r="BS20" i="9"/>
  <c r="BT20" i="9"/>
  <c r="BU20" i="9"/>
  <c r="BV20" i="9"/>
  <c r="BW20" i="9"/>
  <c r="BX20" i="9"/>
  <c r="AO2" i="9"/>
  <c r="AP2" i="9" s="1"/>
  <c r="AQ2" i="9" s="1"/>
  <c r="AR2" i="9" s="1"/>
  <c r="AS2" i="9" s="1"/>
  <c r="AT2" i="9" s="1"/>
  <c r="AU2" i="9" s="1"/>
  <c r="AV2" i="9" s="1"/>
  <c r="AW2" i="9" s="1"/>
  <c r="AX2" i="9" s="1"/>
  <c r="AY2" i="9" s="1"/>
  <c r="AZ2" i="9" s="1"/>
  <c r="BA2" i="9" s="1"/>
  <c r="BB2" i="9" s="1"/>
  <c r="BC2" i="9" s="1"/>
  <c r="BD2" i="9" s="1"/>
  <c r="BE2" i="9" s="1"/>
  <c r="BF2" i="9" s="1"/>
  <c r="BG2" i="9" s="1"/>
  <c r="BH2" i="9" s="1"/>
  <c r="BI2" i="9" s="1"/>
  <c r="BJ2" i="9" s="1"/>
  <c r="BK2" i="9" s="1"/>
  <c r="BL2" i="9" s="1"/>
  <c r="BM2" i="9" s="1"/>
  <c r="BN2" i="9" s="1"/>
  <c r="BO2" i="9" s="1"/>
  <c r="BP2" i="9" s="1"/>
  <c r="BQ2" i="9" s="1"/>
  <c r="BR2" i="9" s="1"/>
  <c r="BS2" i="9" s="1"/>
  <c r="BT2" i="9" s="1"/>
  <c r="BU2" i="9" s="1"/>
  <c r="BV2" i="9" s="1"/>
  <c r="BW2" i="9" s="1"/>
  <c r="BX2" i="9" s="1"/>
  <c r="AO20" i="9"/>
  <c r="AO10" i="9"/>
  <c r="AW19" i="9" l="1"/>
  <c r="BW9" i="9"/>
  <c r="AY9" i="9"/>
  <c r="BU9" i="9"/>
  <c r="BM9" i="9"/>
  <c r="BE9" i="9"/>
  <c r="AW9" i="9"/>
  <c r="BW19" i="9"/>
  <c r="AX9" i="9"/>
  <c r="BT9" i="9"/>
  <c r="BD9" i="9"/>
  <c r="BV19" i="9"/>
  <c r="BS9" i="9"/>
  <c r="BK9" i="9"/>
  <c r="AU9" i="9"/>
  <c r="BS19" i="9"/>
  <c r="BR9" i="9"/>
  <c r="BB9" i="9"/>
  <c r="AT9" i="9"/>
  <c r="BQ19" i="9"/>
  <c r="BQ9" i="9"/>
  <c r="BI9" i="9"/>
  <c r="BA9" i="9"/>
  <c r="BV9" i="9"/>
  <c r="BX9" i="9"/>
  <c r="BP9" i="9"/>
  <c r="AR9" i="9"/>
  <c r="BT19" i="9"/>
  <c r="BO9" i="9"/>
  <c r="BU19" i="9"/>
  <c r="BO19" i="9"/>
  <c r="AU19" i="9"/>
  <c r="BR19" i="9"/>
  <c r="BN19" i="9"/>
  <c r="BX19" i="9"/>
  <c r="BP19" i="9"/>
  <c r="BN9" i="9"/>
  <c r="BG19" i="9"/>
  <c r="BC19" i="9"/>
  <c r="BJ9" i="9"/>
  <c r="BK19" i="9"/>
  <c r="BM19" i="9"/>
  <c r="BE19" i="9"/>
  <c r="AS9" i="9"/>
  <c r="AT19" i="9"/>
  <c r="BL19" i="9"/>
  <c r="BD19" i="9"/>
  <c r="AZ9" i="9"/>
  <c r="AS19" i="9"/>
  <c r="BH9" i="9"/>
  <c r="AZ19" i="9"/>
  <c r="AR19" i="9"/>
  <c r="BG9" i="9"/>
  <c r="BJ19" i="9"/>
  <c r="AY19" i="9"/>
  <c r="BF9" i="9"/>
  <c r="BI19" i="9"/>
  <c r="AX19" i="9"/>
  <c r="BA19" i="9"/>
  <c r="AV9" i="9"/>
  <c r="BL9" i="9"/>
  <c r="AV19" i="9"/>
  <c r="BC9" i="9"/>
  <c r="AQ9" i="9"/>
  <c r="AQ19" i="9"/>
  <c r="AP9" i="9"/>
  <c r="AP19" i="9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AC19" i="9"/>
  <c r="AD19" i="9"/>
  <c r="AE19" i="9"/>
  <c r="AF19" i="9"/>
  <c r="AG19" i="9"/>
  <c r="AH19" i="9"/>
  <c r="AI19" i="9"/>
  <c r="AJ19" i="9"/>
  <c r="AK19" i="9"/>
  <c r="AL19" i="9"/>
  <c r="AM19" i="9"/>
  <c r="AN19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AE20" i="9"/>
  <c r="AF20" i="9"/>
  <c r="AG20" i="9"/>
  <c r="AH20" i="9"/>
  <c r="AI20" i="9"/>
  <c r="AJ20" i="9"/>
  <c r="AK20" i="9"/>
  <c r="AL20" i="9"/>
  <c r="AM20" i="9"/>
  <c r="AN20" i="9"/>
  <c r="E5" i="2"/>
  <c r="E4" i="2"/>
  <c r="E3" i="2"/>
  <c r="E14" i="2"/>
  <c r="E12" i="2"/>
  <c r="E11" i="2"/>
  <c r="E10" i="2"/>
  <c r="E9" i="2"/>
  <c r="E13" i="2"/>
  <c r="O67" i="3"/>
  <c r="O13" i="3"/>
  <c r="O12" i="3"/>
  <c r="O11" i="3"/>
  <c r="O10" i="3"/>
  <c r="C8" i="1"/>
  <c r="C17" i="1" s="1"/>
  <c r="C16" i="1"/>
  <c r="G6" i="1" l="1"/>
  <c r="I6" i="1"/>
  <c r="BB22" i="9"/>
  <c r="BO22" i="9"/>
  <c r="AO19" i="9"/>
  <c r="I5" i="1"/>
  <c r="BM22" i="9"/>
  <c r="BF22" i="9"/>
  <c r="BH22" i="9"/>
  <c r="BN22" i="9"/>
  <c r="H5" i="1"/>
  <c r="BA22" i="9"/>
  <c r="BC22" i="9"/>
  <c r="BJ22" i="9"/>
  <c r="BG22" i="9"/>
  <c r="BE22" i="9"/>
  <c r="BD22" i="9"/>
  <c r="BK22" i="9"/>
  <c r="BI22" i="9"/>
  <c r="BL22" i="9"/>
  <c r="H6" i="1"/>
  <c r="D324" i="7" l="1"/>
  <c r="D620" i="7"/>
  <c r="D1673" i="7"/>
  <c r="D473" i="7"/>
  <c r="D2113" i="7"/>
  <c r="D2191" i="7"/>
  <c r="D2190" i="7"/>
  <c r="D2189" i="7"/>
  <c r="D2185" i="7"/>
  <c r="D2184" i="7"/>
  <c r="D2183" i="7"/>
  <c r="D2182" i="7"/>
  <c r="D2181" i="7"/>
  <c r="D2180" i="7"/>
  <c r="D2179" i="7"/>
  <c r="D2178" i="7"/>
  <c r="D2177" i="7"/>
  <c r="D2176" i="7"/>
  <c r="D2175" i="7"/>
  <c r="D2174" i="7"/>
  <c r="D2173" i="7"/>
  <c r="D2172" i="7"/>
  <c r="D2171" i="7"/>
  <c r="D2170" i="7"/>
  <c r="D2169" i="7"/>
  <c r="D2168" i="7"/>
  <c r="D2167" i="7"/>
  <c r="D2166" i="7"/>
  <c r="D2165" i="7"/>
  <c r="D2164" i="7"/>
  <c r="D2163" i="7"/>
  <c r="D2161" i="7"/>
  <c r="D2160" i="7"/>
  <c r="D2159" i="7"/>
  <c r="D2158" i="7"/>
  <c r="D2157" i="7"/>
  <c r="D2156" i="7"/>
  <c r="D2155" i="7"/>
  <c r="D2154" i="7"/>
  <c r="D2153" i="7"/>
  <c r="D2152" i="7"/>
  <c r="D2151" i="7"/>
  <c r="D2150" i="7"/>
  <c r="D2149" i="7"/>
  <c r="D2148" i="7"/>
  <c r="D2147" i="7"/>
  <c r="D2146" i="7"/>
  <c r="D2145" i="7"/>
  <c r="D2144" i="7"/>
  <c r="D2143" i="7"/>
  <c r="D2142" i="7"/>
  <c r="D2141" i="7"/>
  <c r="D2140" i="7"/>
  <c r="D2139" i="7"/>
  <c r="D2138" i="7"/>
  <c r="D2137" i="7"/>
  <c r="D2136" i="7"/>
  <c r="D2135" i="7"/>
  <c r="D2134" i="7"/>
  <c r="D2133" i="7"/>
  <c r="D2132" i="7"/>
  <c r="D2131" i="7"/>
  <c r="D2130" i="7"/>
  <c r="D2129" i="7"/>
  <c r="D2128" i="7"/>
  <c r="D2127" i="7"/>
  <c r="D2126" i="7"/>
  <c r="D2125" i="7"/>
  <c r="D2124" i="7"/>
  <c r="D2123" i="7"/>
  <c r="D2122" i="7"/>
  <c r="D2121" i="7"/>
  <c r="D2120" i="7"/>
  <c r="D2119" i="7"/>
  <c r="D2118" i="7"/>
  <c r="D2117" i="7"/>
  <c r="D2116" i="7"/>
  <c r="D2112" i="7"/>
  <c r="D1892" i="7"/>
  <c r="D2111" i="7"/>
  <c r="D2110" i="7"/>
  <c r="D2109" i="7"/>
  <c r="D2108" i="7"/>
  <c r="D2107" i="7"/>
  <c r="D2106" i="7"/>
  <c r="D2104" i="7"/>
  <c r="D2103" i="7"/>
  <c r="D2102" i="7"/>
  <c r="D2101" i="7"/>
  <c r="D2099" i="7"/>
  <c r="D2098" i="7"/>
  <c r="D2097" i="7"/>
  <c r="D2096" i="7"/>
  <c r="D2095" i="7"/>
  <c r="D2094" i="7"/>
  <c r="D2093" i="7"/>
  <c r="D2092" i="7"/>
  <c r="D2091" i="7"/>
  <c r="D2090" i="7"/>
  <c r="D2089" i="7"/>
  <c r="D2088" i="7"/>
  <c r="D2087" i="7"/>
  <c r="D2086" i="7"/>
  <c r="D2085" i="7"/>
  <c r="D2084" i="7"/>
  <c r="D2083" i="7"/>
  <c r="D2082" i="7"/>
  <c r="D2081" i="7"/>
  <c r="D2080" i="7"/>
  <c r="D2079" i="7"/>
  <c r="D2078" i="7"/>
  <c r="D2077" i="7"/>
  <c r="D2076" i="7"/>
  <c r="D2075" i="7"/>
  <c r="D2074" i="7"/>
  <c r="D2073" i="7"/>
  <c r="D2072" i="7"/>
  <c r="D2071" i="7"/>
  <c r="D2070" i="7"/>
  <c r="D2069" i="7"/>
  <c r="D2068" i="7"/>
  <c r="D2067" i="7"/>
  <c r="D2066" i="7"/>
  <c r="D2065" i="7"/>
  <c r="D2064" i="7"/>
  <c r="D2063" i="7"/>
  <c r="D2062" i="7"/>
  <c r="D2061" i="7"/>
  <c r="D2060" i="7"/>
  <c r="D2059" i="7"/>
  <c r="D2058" i="7"/>
  <c r="D2057" i="7"/>
  <c r="D2056" i="7"/>
  <c r="D2055" i="7"/>
  <c r="D2054" i="7"/>
  <c r="D2053" i="7"/>
  <c r="D2052" i="7"/>
  <c r="D2051" i="7"/>
  <c r="D2050" i="7"/>
  <c r="D2049" i="7"/>
  <c r="D2048" i="7"/>
  <c r="D2047" i="7"/>
  <c r="D2046" i="7"/>
  <c r="D2045" i="7"/>
  <c r="D2044" i="7"/>
  <c r="D2043" i="7"/>
  <c r="D2042" i="7"/>
  <c r="D2041" i="7"/>
  <c r="D2040" i="7"/>
  <c r="D2039" i="7"/>
  <c r="D2038" i="7"/>
  <c r="D2037" i="7"/>
  <c r="D2036" i="7"/>
  <c r="D2035" i="7"/>
  <c r="D2034" i="7"/>
  <c r="D2033" i="7"/>
  <c r="D2032" i="7"/>
  <c r="D2031" i="7"/>
  <c r="D2030" i="7"/>
  <c r="D2029" i="7"/>
  <c r="D2028" i="7"/>
  <c r="D2027" i="7"/>
  <c r="D2026" i="7"/>
  <c r="D2025" i="7"/>
  <c r="D2024" i="7"/>
  <c r="D2023" i="7"/>
  <c r="D2022" i="7"/>
  <c r="D2021" i="7"/>
  <c r="D2020" i="7"/>
  <c r="D2019" i="7"/>
  <c r="D2018" i="7"/>
  <c r="D2017" i="7"/>
  <c r="D2016" i="7"/>
  <c r="D2015" i="7"/>
  <c r="D2014" i="7"/>
  <c r="D2013" i="7"/>
  <c r="D2010" i="7"/>
  <c r="D2009" i="7"/>
  <c r="D2008" i="7"/>
  <c r="D2007" i="7"/>
  <c r="D2006" i="7"/>
  <c r="D486" i="7"/>
  <c r="D1672" i="7"/>
  <c r="D472" i="7"/>
  <c r="D2005" i="7"/>
  <c r="D2004" i="7"/>
  <c r="D2003" i="7"/>
  <c r="D2002" i="7"/>
  <c r="D2001" i="7"/>
  <c r="D2000" i="7"/>
  <c r="D1999" i="7"/>
  <c r="D1998" i="7"/>
  <c r="D1997" i="7"/>
  <c r="D1996" i="7"/>
  <c r="D1995" i="7"/>
  <c r="D1994" i="7"/>
  <c r="D1993" i="7"/>
  <c r="D1992" i="7"/>
  <c r="D1991" i="7"/>
  <c r="D1990" i="7"/>
  <c r="D1989" i="7"/>
  <c r="D1988" i="7"/>
  <c r="D1987" i="7"/>
  <c r="D1986" i="7"/>
  <c r="D1985" i="7"/>
  <c r="D1984" i="7"/>
  <c r="D1983" i="7"/>
  <c r="D1982" i="7"/>
  <c r="D1981" i="7"/>
  <c r="D1980" i="7"/>
  <c r="D1979" i="7"/>
  <c r="D1978" i="7"/>
  <c r="D1977" i="7"/>
  <c r="D1976" i="7"/>
  <c r="D1975" i="7"/>
  <c r="D1974" i="7"/>
  <c r="D1973" i="7"/>
  <c r="D1972" i="7"/>
  <c r="D1971" i="7"/>
  <c r="D1970" i="7"/>
  <c r="D1969" i="7"/>
  <c r="D1968" i="7"/>
  <c r="D1967" i="7"/>
  <c r="D1966" i="7"/>
  <c r="D1965" i="7"/>
  <c r="D1964" i="7"/>
  <c r="D1963" i="7"/>
  <c r="D1962" i="7"/>
  <c r="D1961" i="7"/>
  <c r="D1960" i="7"/>
  <c r="D1959" i="7"/>
  <c r="D1958" i="7"/>
  <c r="D1957" i="7"/>
  <c r="D1956" i="7"/>
  <c r="D1955" i="7"/>
  <c r="D1954" i="7"/>
  <c r="D1953" i="7"/>
  <c r="D1952" i="7"/>
  <c r="D1951" i="7"/>
  <c r="D1950" i="7"/>
  <c r="D1949" i="7"/>
  <c r="D1942" i="7"/>
  <c r="D1941" i="7"/>
  <c r="D1940" i="7"/>
  <c r="D1939" i="7"/>
  <c r="D1938" i="7"/>
  <c r="D1937" i="7"/>
  <c r="D1936" i="7"/>
  <c r="D1935" i="7"/>
  <c r="D1934" i="7"/>
  <c r="D1933" i="7"/>
  <c r="D1932" i="7"/>
  <c r="D1931" i="7"/>
  <c r="D1930" i="7"/>
  <c r="D1929" i="7"/>
  <c r="D1928" i="7"/>
  <c r="D1924" i="7"/>
  <c r="D1923" i="7"/>
  <c r="D1922" i="7"/>
  <c r="D1921" i="7"/>
  <c r="D1920" i="7"/>
  <c r="D1919" i="7"/>
  <c r="D1918" i="7"/>
  <c r="D1917" i="7"/>
  <c r="D1916" i="7"/>
  <c r="D1915" i="7"/>
  <c r="D1914" i="7"/>
  <c r="D1913" i="7"/>
  <c r="D1912" i="7"/>
  <c r="D1911" i="7"/>
  <c r="D1910" i="7"/>
  <c r="D1907" i="7"/>
  <c r="D1906" i="7"/>
  <c r="D1905" i="7"/>
  <c r="D1904" i="7"/>
  <c r="D1903" i="7"/>
  <c r="D1902" i="7"/>
  <c r="D1901" i="7"/>
  <c r="D1900" i="7"/>
  <c r="D1899" i="7"/>
  <c r="D1898" i="7"/>
  <c r="D1897" i="7"/>
  <c r="D1896" i="7"/>
  <c r="D1895" i="7"/>
  <c r="D1894" i="7"/>
  <c r="D1893" i="7"/>
  <c r="D658" i="7"/>
  <c r="D1891" i="7"/>
  <c r="D1890" i="7"/>
  <c r="D1889" i="7"/>
  <c r="D1888" i="7"/>
  <c r="D1887" i="7"/>
  <c r="D1886" i="7"/>
  <c r="D1885" i="7"/>
  <c r="D2162" i="7"/>
  <c r="D2115" i="7"/>
  <c r="D2114" i="7"/>
  <c r="D2105" i="7"/>
  <c r="D2100" i="7"/>
  <c r="D2012" i="7"/>
  <c r="D2011" i="7"/>
  <c r="D1948" i="7"/>
  <c r="D1947" i="7"/>
  <c r="D1946" i="7"/>
  <c r="D1927" i="7"/>
  <c r="D1926" i="7"/>
  <c r="D1909" i="7"/>
  <c r="D1908" i="7"/>
  <c r="D2188" i="7"/>
  <c r="D2187" i="7"/>
  <c r="D2186" i="7"/>
  <c r="D1884" i="7"/>
  <c r="D1883" i="7"/>
  <c r="D1882" i="7"/>
  <c r="D1881" i="7"/>
  <c r="D1880" i="7"/>
  <c r="D1879" i="7"/>
  <c r="D1878" i="7"/>
  <c r="D1877" i="7"/>
  <c r="D1876" i="7"/>
  <c r="D1875" i="7"/>
  <c r="D1874" i="7"/>
  <c r="D1873" i="7"/>
  <c r="D1872" i="7"/>
  <c r="D1871" i="7"/>
  <c r="D1870" i="7"/>
  <c r="D1869" i="7"/>
  <c r="D1868" i="7"/>
  <c r="D1867" i="7"/>
  <c r="D1866" i="7"/>
  <c r="D1865" i="7"/>
  <c r="D1864" i="7"/>
  <c r="D1863" i="7"/>
  <c r="D1862" i="7"/>
  <c r="D1861" i="7"/>
  <c r="D1860" i="7"/>
  <c r="D1859" i="7"/>
  <c r="D1858" i="7"/>
  <c r="D1857" i="7"/>
  <c r="D1856" i="7"/>
  <c r="D1855" i="7"/>
  <c r="D1854" i="7"/>
  <c r="D1853" i="7"/>
  <c r="D1852" i="7"/>
  <c r="D1851" i="7"/>
  <c r="D1826" i="7"/>
  <c r="D1850" i="7"/>
  <c r="D1849" i="7"/>
  <c r="D1848" i="7"/>
  <c r="D1847" i="7"/>
  <c r="D1846" i="7"/>
  <c r="D1841" i="7"/>
  <c r="D1840" i="7"/>
  <c r="D1839" i="7"/>
  <c r="D1838" i="7"/>
  <c r="D1837" i="7"/>
  <c r="D1836" i="7"/>
  <c r="D1834" i="7"/>
  <c r="D1833" i="7"/>
  <c r="D1832" i="7"/>
  <c r="D1831" i="7"/>
  <c r="D1830" i="7"/>
  <c r="D1829" i="7"/>
  <c r="D1828" i="7"/>
  <c r="D1827" i="7"/>
  <c r="D1825" i="7"/>
  <c r="D1824" i="7"/>
  <c r="D1769" i="7"/>
  <c r="D1823" i="7"/>
  <c r="D1822" i="7"/>
  <c r="D1821" i="7"/>
  <c r="D1820" i="7"/>
  <c r="D1819" i="7"/>
  <c r="D1818" i="7"/>
  <c r="D1817" i="7"/>
  <c r="D1816" i="7"/>
  <c r="D1815" i="7"/>
  <c r="D1814" i="7"/>
  <c r="D1813" i="7"/>
  <c r="D1812" i="7"/>
  <c r="D1811" i="7"/>
  <c r="D1810" i="7"/>
  <c r="D1809" i="7"/>
  <c r="D1808" i="7"/>
  <c r="D1807" i="7"/>
  <c r="D1806" i="7"/>
  <c r="D1805" i="7"/>
  <c r="D1804" i="7"/>
  <c r="D1803" i="7"/>
  <c r="D1802" i="7"/>
  <c r="D1801" i="7"/>
  <c r="D1800" i="7"/>
  <c r="D1799" i="7"/>
  <c r="D1798" i="7"/>
  <c r="D1797" i="7"/>
  <c r="D1796" i="7"/>
  <c r="D1795" i="7"/>
  <c r="D1794" i="7"/>
  <c r="D1793" i="7"/>
  <c r="D1792" i="7"/>
  <c r="D1791" i="7"/>
  <c r="D1790" i="7"/>
  <c r="D1789" i="7"/>
  <c r="D1788" i="7"/>
  <c r="D1787" i="7"/>
  <c r="D1786" i="7"/>
  <c r="D1785" i="7"/>
  <c r="D1784" i="7"/>
  <c r="D1783" i="7"/>
  <c r="D1782" i="7"/>
  <c r="D1781" i="7"/>
  <c r="D1780" i="7"/>
  <c r="D1779" i="7"/>
  <c r="D1778" i="7"/>
  <c r="D1777" i="7"/>
  <c r="D1776" i="7"/>
  <c r="D1775" i="7"/>
  <c r="D1774" i="7"/>
  <c r="D1773" i="7"/>
  <c r="D1945" i="7"/>
  <c r="D1845" i="7"/>
  <c r="D1768" i="7"/>
  <c r="D1767" i="7"/>
  <c r="D1766" i="7"/>
  <c r="D1765" i="7"/>
  <c r="D1764" i="7"/>
  <c r="D1763" i="7"/>
  <c r="D1762" i="7"/>
  <c r="D1760" i="7"/>
  <c r="D1759" i="7"/>
  <c r="D1758" i="7"/>
  <c r="D1757" i="7"/>
  <c r="D1756" i="7"/>
  <c r="D1755" i="7"/>
  <c r="D1754" i="7"/>
  <c r="D1753" i="7"/>
  <c r="D1752" i="7"/>
  <c r="D1751" i="7"/>
  <c r="D1750" i="7"/>
  <c r="D1749" i="7"/>
  <c r="D1748" i="7"/>
  <c r="D1747" i="7"/>
  <c r="D1746" i="7"/>
  <c r="D1744" i="7"/>
  <c r="D1743" i="7"/>
  <c r="D1742" i="7"/>
  <c r="D1741" i="7"/>
  <c r="D1740" i="7"/>
  <c r="D1739" i="7"/>
  <c r="D1738" i="7"/>
  <c r="D1737" i="7"/>
  <c r="D1736" i="7"/>
  <c r="D1735" i="7"/>
  <c r="D1734" i="7"/>
  <c r="D1733" i="7"/>
  <c r="D1732" i="7"/>
  <c r="D1731" i="7"/>
  <c r="D1730" i="7"/>
  <c r="D1729" i="7"/>
  <c r="D1728" i="7"/>
  <c r="D1727" i="7"/>
  <c r="D1726" i="7"/>
  <c r="D1725" i="7"/>
  <c r="D1724" i="7"/>
  <c r="D1723" i="7"/>
  <c r="D1722" i="7"/>
  <c r="D1721" i="7"/>
  <c r="D1720" i="7"/>
  <c r="D1719" i="7"/>
  <c r="D1718" i="7"/>
  <c r="D1717" i="7"/>
  <c r="D1716" i="7"/>
  <c r="D1715" i="7"/>
  <c r="D1714" i="7"/>
  <c r="D1713" i="7"/>
  <c r="D1712" i="7"/>
  <c r="D1711" i="7"/>
  <c r="D1710" i="7"/>
  <c r="D1709" i="7"/>
  <c r="D1708" i="7"/>
  <c r="D1707" i="7"/>
  <c r="D1706" i="7"/>
  <c r="D1705" i="7"/>
  <c r="D1704" i="7"/>
  <c r="D1703" i="7"/>
  <c r="D1702" i="7"/>
  <c r="D1701" i="7"/>
  <c r="D1700" i="7"/>
  <c r="D1699" i="7"/>
  <c r="D1698" i="7"/>
  <c r="D1697" i="7"/>
  <c r="D1696" i="7"/>
  <c r="D1695" i="7"/>
  <c r="D1694" i="7"/>
  <c r="D1693" i="7"/>
  <c r="D1692" i="7"/>
  <c r="D1691" i="7"/>
  <c r="D1688" i="7"/>
  <c r="D198" i="7"/>
  <c r="D1687" i="7"/>
  <c r="D1686" i="7"/>
  <c r="D1682" i="7"/>
  <c r="D1681" i="7"/>
  <c r="D1680" i="7"/>
  <c r="D1679" i="7"/>
  <c r="D1678" i="7"/>
  <c r="D1677" i="7"/>
  <c r="D1676" i="7"/>
  <c r="D1675" i="7"/>
  <c r="D1674" i="7"/>
  <c r="D1671" i="7"/>
  <c r="D1670" i="7"/>
  <c r="D1669" i="7"/>
  <c r="D1668" i="7"/>
  <c r="D1667" i="7"/>
  <c r="D1662" i="7"/>
  <c r="D1661" i="7"/>
  <c r="D1660" i="7"/>
  <c r="D1659" i="7"/>
  <c r="D1658" i="7"/>
  <c r="D1657" i="7"/>
  <c r="D1656" i="7"/>
  <c r="D1655" i="7"/>
  <c r="D1654" i="7"/>
  <c r="D1653" i="7"/>
  <c r="D1652" i="7"/>
  <c r="D1651" i="7"/>
  <c r="D1650" i="7"/>
  <c r="D1649" i="7"/>
  <c r="D1648" i="7"/>
  <c r="D1647" i="7"/>
  <c r="D1646" i="7"/>
  <c r="D1645" i="7"/>
  <c r="D1644" i="7"/>
  <c r="D1643" i="7"/>
  <c r="D1642" i="7"/>
  <c r="D1641" i="7"/>
  <c r="D1640" i="7"/>
  <c r="D1639" i="7"/>
  <c r="D1638" i="7"/>
  <c r="D1637" i="7"/>
  <c r="D1636" i="7"/>
  <c r="D1844" i="7"/>
  <c r="D1843" i="7"/>
  <c r="D1842" i="7"/>
  <c r="D1835" i="7"/>
  <c r="D1772" i="7"/>
  <c r="D1771" i="7"/>
  <c r="D1770" i="7"/>
  <c r="D1745" i="7"/>
  <c r="D1690" i="7"/>
  <c r="D1689" i="7"/>
  <c r="D1685" i="7"/>
  <c r="D1684" i="7"/>
  <c r="D1666" i="7"/>
  <c r="D1665" i="7"/>
  <c r="D1664" i="7"/>
  <c r="D1635" i="7"/>
  <c r="D1634" i="7"/>
  <c r="D1633" i="7"/>
  <c r="D1618" i="7"/>
  <c r="D1617" i="7"/>
  <c r="D1599" i="7"/>
  <c r="D1595" i="7"/>
  <c r="D1594" i="7"/>
  <c r="D1593" i="7"/>
  <c r="D1592" i="7"/>
  <c r="D1504" i="7"/>
  <c r="D1503" i="7"/>
  <c r="D1357" i="7"/>
  <c r="D1356" i="7"/>
  <c r="D1355" i="7"/>
  <c r="D1262" i="7"/>
  <c r="D1261" i="7"/>
  <c r="D1632" i="7"/>
  <c r="D1631" i="7"/>
  <c r="D1630" i="7"/>
  <c r="D1629" i="7"/>
  <c r="D1628" i="7"/>
  <c r="D1627" i="7"/>
  <c r="D1626" i="7"/>
  <c r="D1625" i="7"/>
  <c r="D1624" i="7"/>
  <c r="D1623" i="7"/>
  <c r="D1622" i="7"/>
  <c r="D1621" i="7"/>
  <c r="D1620" i="7"/>
  <c r="D1619" i="7"/>
  <c r="D1616" i="7"/>
  <c r="D1615" i="7"/>
  <c r="D1614" i="7"/>
  <c r="D1613" i="7"/>
  <c r="D1612" i="7"/>
  <c r="D1611" i="7"/>
  <c r="D1610" i="7"/>
  <c r="D1609" i="7"/>
  <c r="D1608" i="7"/>
  <c r="D1607" i="7"/>
  <c r="D1606" i="7"/>
  <c r="D1605" i="7"/>
  <c r="D1604" i="7"/>
  <c r="D1603" i="7"/>
  <c r="D1602" i="7"/>
  <c r="D1601" i="7"/>
  <c r="D1600" i="7"/>
  <c r="D1598" i="7"/>
  <c r="D1597" i="7"/>
  <c r="D1596" i="7"/>
  <c r="D1591" i="7"/>
  <c r="D1590" i="7"/>
  <c r="D1589" i="7"/>
  <c r="D1588" i="7"/>
  <c r="D1587" i="7"/>
  <c r="D1586" i="7"/>
  <c r="D1585" i="7"/>
  <c r="D1584" i="7"/>
  <c r="D1583" i="7"/>
  <c r="D1582" i="7"/>
  <c r="D1581" i="7"/>
  <c r="D1580" i="7"/>
  <c r="D1579" i="7"/>
  <c r="D1578" i="7"/>
  <c r="D1577" i="7"/>
  <c r="D1576" i="7"/>
  <c r="D1575" i="7"/>
  <c r="D1574" i="7"/>
  <c r="D1573" i="7"/>
  <c r="D1572" i="7"/>
  <c r="D1571" i="7"/>
  <c r="D1570" i="7"/>
  <c r="D1569" i="7"/>
  <c r="D1568" i="7"/>
  <c r="D1567" i="7"/>
  <c r="D1566" i="7"/>
  <c r="D1565" i="7"/>
  <c r="D1564" i="7"/>
  <c r="D1563" i="7"/>
  <c r="D1562" i="7"/>
  <c r="D1561" i="7"/>
  <c r="D1560" i="7"/>
  <c r="D1559" i="7"/>
  <c r="D1558" i="7"/>
  <c r="D1557" i="7"/>
  <c r="D1556" i="7"/>
  <c r="D1555" i="7"/>
  <c r="D1554" i="7"/>
  <c r="D1553" i="7"/>
  <c r="D1552" i="7"/>
  <c r="D1551" i="7"/>
  <c r="D1550" i="7"/>
  <c r="D1549" i="7"/>
  <c r="D1548" i="7"/>
  <c r="D1547" i="7"/>
  <c r="D1546" i="7"/>
  <c r="D1545" i="7"/>
  <c r="D1544" i="7"/>
  <c r="D1543" i="7"/>
  <c r="D1542" i="7"/>
  <c r="D1541" i="7"/>
  <c r="D1540" i="7"/>
  <c r="D1539" i="7"/>
  <c r="D1538" i="7"/>
  <c r="D1537" i="7"/>
  <c r="D1536" i="7"/>
  <c r="D1535" i="7"/>
  <c r="D1534" i="7"/>
  <c r="D1533" i="7"/>
  <c r="D1532" i="7"/>
  <c r="D1531" i="7"/>
  <c r="D1530" i="7"/>
  <c r="D1529" i="7"/>
  <c r="D1528" i="7"/>
  <c r="D1527" i="7"/>
  <c r="D1526" i="7"/>
  <c r="D1525" i="7"/>
  <c r="D1524" i="7"/>
  <c r="D1523" i="7"/>
  <c r="D1522" i="7"/>
  <c r="D1521" i="7"/>
  <c r="D1520" i="7"/>
  <c r="D1519" i="7"/>
  <c r="D1518" i="7"/>
  <c r="D1517" i="7"/>
  <c r="D1516" i="7"/>
  <c r="D1515" i="7"/>
  <c r="D1514" i="7"/>
  <c r="D1513" i="7"/>
  <c r="D1512" i="7"/>
  <c r="D1511" i="7"/>
  <c r="D1510" i="7"/>
  <c r="D1509" i="7"/>
  <c r="D1508" i="7"/>
  <c r="D1507" i="7"/>
  <c r="D1506" i="7"/>
  <c r="D1502" i="7"/>
  <c r="D1501" i="7"/>
  <c r="D1500" i="7"/>
  <c r="D1499" i="7"/>
  <c r="D1498" i="7"/>
  <c r="D1448" i="7"/>
  <c r="D1497" i="7"/>
  <c r="D1496" i="7"/>
  <c r="D1495" i="7"/>
  <c r="D1494" i="7"/>
  <c r="D1493" i="7"/>
  <c r="D1492" i="7"/>
  <c r="D1491" i="7"/>
  <c r="D1490" i="7"/>
  <c r="D1487" i="7"/>
  <c r="D1486" i="7"/>
  <c r="D1485" i="7"/>
  <c r="D1484" i="7"/>
  <c r="D1483" i="7"/>
  <c r="D1482" i="7"/>
  <c r="D1481" i="7"/>
  <c r="D1480" i="7"/>
  <c r="D1479" i="7"/>
  <c r="D1478" i="7"/>
  <c r="D1477" i="7"/>
  <c r="D1476" i="7"/>
  <c r="D1475" i="7"/>
  <c r="D1474" i="7"/>
  <c r="D1473" i="7"/>
  <c r="D1472" i="7"/>
  <c r="D1471" i="7"/>
  <c r="D1470" i="7"/>
  <c r="D1469" i="7"/>
  <c r="D1468" i="7"/>
  <c r="D1467" i="7"/>
  <c r="D1466" i="7"/>
  <c r="D1465" i="7"/>
  <c r="D1464" i="7"/>
  <c r="D1463" i="7"/>
  <c r="D1462" i="7"/>
  <c r="D1461" i="7"/>
  <c r="D1460" i="7"/>
  <c r="D1459" i="7"/>
  <c r="D1458" i="7"/>
  <c r="D1457" i="7"/>
  <c r="D1456" i="7"/>
  <c r="D1455" i="7"/>
  <c r="D1454" i="7"/>
  <c r="D1453" i="7"/>
  <c r="D1452" i="7"/>
  <c r="D1451" i="7"/>
  <c r="D1450" i="7"/>
  <c r="D1449" i="7"/>
  <c r="D1447" i="7"/>
  <c r="D1446" i="7"/>
  <c r="D1445" i="7"/>
  <c r="D1444" i="7"/>
  <c r="D1443" i="7"/>
  <c r="D1442" i="7"/>
  <c r="D1441" i="7"/>
  <c r="D1079" i="7"/>
  <c r="D1761" i="7"/>
  <c r="D1440" i="7"/>
  <c r="D1439" i="7"/>
  <c r="D1438" i="7"/>
  <c r="D1437" i="7"/>
  <c r="D1436" i="7"/>
  <c r="D1435" i="7"/>
  <c r="D1434" i="7"/>
  <c r="D1433" i="7"/>
  <c r="D1432" i="7"/>
  <c r="D1431" i="7"/>
  <c r="D1430" i="7"/>
  <c r="D1429" i="7"/>
  <c r="D1428" i="7"/>
  <c r="D1427" i="7"/>
  <c r="D1426" i="7"/>
  <c r="D1425" i="7"/>
  <c r="D1424" i="7"/>
  <c r="D1423" i="7"/>
  <c r="D1422" i="7"/>
  <c r="D1421" i="7"/>
  <c r="D1420" i="7"/>
  <c r="D1419" i="7"/>
  <c r="D1418" i="7"/>
  <c r="D1417" i="7"/>
  <c r="D1416" i="7"/>
  <c r="D1415" i="7"/>
  <c r="D1414" i="7"/>
  <c r="D1413" i="7"/>
  <c r="D1412" i="7"/>
  <c r="D1411" i="7"/>
  <c r="D1410" i="7"/>
  <c r="D1409" i="7"/>
  <c r="D1408" i="7"/>
  <c r="D1407" i="7"/>
  <c r="D1406" i="7"/>
  <c r="D1405" i="7"/>
  <c r="D1404" i="7"/>
  <c r="D1403" i="7"/>
  <c r="D1402" i="7"/>
  <c r="D1401" i="7"/>
  <c r="D1400" i="7"/>
  <c r="D1399" i="7"/>
  <c r="D1398" i="7"/>
  <c r="D1397" i="7"/>
  <c r="D1396" i="7"/>
  <c r="D1395" i="7"/>
  <c r="D1394" i="7"/>
  <c r="D1393" i="7"/>
  <c r="D1392" i="7"/>
  <c r="D1391" i="7"/>
  <c r="D1390" i="7"/>
  <c r="D1389" i="7"/>
  <c r="D1388" i="7"/>
  <c r="D1387" i="7"/>
  <c r="D1386" i="7"/>
  <c r="D1385" i="7"/>
  <c r="D1384" i="7"/>
  <c r="D1383" i="7"/>
  <c r="D1382" i="7"/>
  <c r="D1381" i="7"/>
  <c r="D1380" i="7"/>
  <c r="D1379" i="7"/>
  <c r="D1378" i="7"/>
  <c r="D1377" i="7"/>
  <c r="D1376" i="7"/>
  <c r="D1375" i="7"/>
  <c r="D1374" i="7"/>
  <c r="D1373" i="7"/>
  <c r="D1372" i="7"/>
  <c r="D1371" i="7"/>
  <c r="D1370" i="7"/>
  <c r="D1369" i="7"/>
  <c r="D1368" i="7"/>
  <c r="D1367" i="7"/>
  <c r="D1366" i="7"/>
  <c r="D1365" i="7"/>
  <c r="D1364" i="7"/>
  <c r="D1363" i="7"/>
  <c r="D1362" i="7"/>
  <c r="D1361" i="7"/>
  <c r="D1360" i="7"/>
  <c r="D1359" i="7"/>
  <c r="D1354" i="7"/>
  <c r="D1353" i="7"/>
  <c r="D1352" i="7"/>
  <c r="D1351" i="7"/>
  <c r="D1350" i="7"/>
  <c r="D1349" i="7"/>
  <c r="D1348" i="7"/>
  <c r="D1347" i="7"/>
  <c r="D1346" i="7"/>
  <c r="D1345" i="7"/>
  <c r="D1344" i="7"/>
  <c r="D1343" i="7"/>
  <c r="D1342" i="7"/>
  <c r="D1341" i="7"/>
  <c r="D1340" i="7"/>
  <c r="D1339" i="7"/>
  <c r="D1338" i="7"/>
  <c r="D1337" i="7"/>
  <c r="D1336" i="7"/>
  <c r="D1335" i="7"/>
  <c r="D1334" i="7"/>
  <c r="D1333" i="7"/>
  <c r="D1332" i="7"/>
  <c r="D1331" i="7"/>
  <c r="D1330" i="7"/>
  <c r="D1329" i="7"/>
  <c r="D1328" i="7"/>
  <c r="D1327" i="7"/>
  <c r="D1326" i="7"/>
  <c r="D1325" i="7"/>
  <c r="D1324" i="7"/>
  <c r="D1323" i="7"/>
  <c r="D1322" i="7"/>
  <c r="D1321" i="7"/>
  <c r="D1320" i="7"/>
  <c r="D1319" i="7"/>
  <c r="D1318" i="7"/>
  <c r="D1317" i="7"/>
  <c r="D1316" i="7"/>
  <c r="D1315" i="7"/>
  <c r="D1314" i="7"/>
  <c r="D1313" i="7"/>
  <c r="D1312" i="7"/>
  <c r="D1311" i="7"/>
  <c r="D1310" i="7"/>
  <c r="D1309" i="7"/>
  <c r="D1308" i="7"/>
  <c r="D1307" i="7"/>
  <c r="D1306" i="7"/>
  <c r="D1305" i="7"/>
  <c r="D1304" i="7"/>
  <c r="D1303" i="7"/>
  <c r="D1302" i="7"/>
  <c r="D1301" i="7"/>
  <c r="D1300" i="7"/>
  <c r="D1299" i="7"/>
  <c r="D1298" i="7"/>
  <c r="D1297" i="7"/>
  <c r="D1296" i="7"/>
  <c r="D1295" i="7"/>
  <c r="D1294" i="7"/>
  <c r="D1293" i="7"/>
  <c r="D1292" i="7"/>
  <c r="D1291" i="7"/>
  <c r="D1290" i="7"/>
  <c r="D1289" i="7"/>
  <c r="D1288" i="7"/>
  <c r="D1287" i="7"/>
  <c r="D1286" i="7"/>
  <c r="D1285" i="7"/>
  <c r="D1284" i="7"/>
  <c r="D1283" i="7"/>
  <c r="D1282" i="7"/>
  <c r="D1281" i="7"/>
  <c r="D1280" i="7"/>
  <c r="D1279" i="7"/>
  <c r="D1278" i="7"/>
  <c r="D1277" i="7"/>
  <c r="D1276" i="7"/>
  <c r="D1275" i="7"/>
  <c r="D1274" i="7"/>
  <c r="D1273" i="7"/>
  <c r="D1272" i="7"/>
  <c r="D1271" i="7"/>
  <c r="D1270" i="7"/>
  <c r="D1269" i="7"/>
  <c r="D1268" i="7"/>
  <c r="D1267" i="7"/>
  <c r="D1266" i="7"/>
  <c r="D1265" i="7"/>
  <c r="D1264" i="7"/>
  <c r="D1263" i="7"/>
  <c r="D1260" i="7"/>
  <c r="D1259" i="7"/>
  <c r="D1489" i="7"/>
  <c r="D1258" i="7"/>
  <c r="D1257" i="7"/>
  <c r="D1256" i="7"/>
  <c r="D1255" i="7"/>
  <c r="D1253" i="7"/>
  <c r="D1252" i="7"/>
  <c r="D1251" i="7"/>
  <c r="D1250" i="7"/>
  <c r="D1249" i="7"/>
  <c r="D1248" i="7"/>
  <c r="D1247" i="7"/>
  <c r="D1246" i="7"/>
  <c r="D1245" i="7"/>
  <c r="D1244" i="7"/>
  <c r="D1243" i="7"/>
  <c r="D1242" i="7"/>
  <c r="D1241" i="7"/>
  <c r="D1240" i="7"/>
  <c r="D1239" i="7"/>
  <c r="D1238" i="7"/>
  <c r="D1237" i="7"/>
  <c r="D1236" i="7"/>
  <c r="D1235" i="7"/>
  <c r="D1234" i="7"/>
  <c r="D1233" i="7"/>
  <c r="D1232" i="7"/>
  <c r="D1231" i="7"/>
  <c r="D1230" i="7"/>
  <c r="D1229" i="7"/>
  <c r="D1228" i="7"/>
  <c r="D1227" i="7"/>
  <c r="D1226" i="7"/>
  <c r="D1225" i="7"/>
  <c r="D1224" i="7"/>
  <c r="D1223" i="7"/>
  <c r="D1222" i="7"/>
  <c r="D1221" i="7"/>
  <c r="D1220" i="7"/>
  <c r="D1219" i="7"/>
  <c r="D1218" i="7"/>
  <c r="D1217" i="7"/>
  <c r="D1216" i="7"/>
  <c r="D1215" i="7"/>
  <c r="D1214" i="7"/>
  <c r="D1213" i="7"/>
  <c r="D1212" i="7"/>
  <c r="D1211" i="7"/>
  <c r="D1210" i="7"/>
  <c r="D1209" i="7"/>
  <c r="D1208" i="7"/>
  <c r="D1207" i="7"/>
  <c r="D1206" i="7"/>
  <c r="D1205" i="7"/>
  <c r="D1204" i="7"/>
  <c r="D1203" i="7"/>
  <c r="D1202" i="7"/>
  <c r="D1201" i="7"/>
  <c r="D1200" i="7"/>
  <c r="D1199" i="7"/>
  <c r="D1198" i="7"/>
  <c r="D1197" i="7"/>
  <c r="D1196" i="7"/>
  <c r="D1195" i="7"/>
  <c r="D1194" i="7"/>
  <c r="D1193" i="7"/>
  <c r="D1192" i="7"/>
  <c r="D1191" i="7"/>
  <c r="D1190" i="7"/>
  <c r="D1189" i="7"/>
  <c r="D1188" i="7"/>
  <c r="D1187" i="7"/>
  <c r="D1186" i="7"/>
  <c r="D1185" i="7"/>
  <c r="D1184" i="7"/>
  <c r="D1183" i="7"/>
  <c r="D1182" i="7"/>
  <c r="D1181" i="7"/>
  <c r="D1180" i="7"/>
  <c r="D1179" i="7"/>
  <c r="D1178" i="7"/>
  <c r="D1177" i="7"/>
  <c r="D1176" i="7"/>
  <c r="D1175" i="7"/>
  <c r="D1174" i="7"/>
  <c r="D1173" i="7"/>
  <c r="D1172" i="7"/>
  <c r="D1171" i="7"/>
  <c r="D1170" i="7"/>
  <c r="D1169" i="7"/>
  <c r="D1168" i="7"/>
  <c r="D1167" i="7"/>
  <c r="D1166" i="7"/>
  <c r="D1165" i="7"/>
  <c r="D1164" i="7"/>
  <c r="D1163" i="7"/>
  <c r="D1162" i="7"/>
  <c r="D1161" i="7"/>
  <c r="D1160" i="7"/>
  <c r="D1159" i="7"/>
  <c r="D1158" i="7"/>
  <c r="D1157" i="7"/>
  <c r="D1156" i="7"/>
  <c r="D1155" i="7"/>
  <c r="D1154" i="7"/>
  <c r="D1153" i="7"/>
  <c r="D1152" i="7"/>
  <c r="D1151" i="7"/>
  <c r="D1150" i="7"/>
  <c r="D1149" i="7"/>
  <c r="D1148" i="7"/>
  <c r="D1147" i="7"/>
  <c r="D1146" i="7"/>
  <c r="D1145" i="7"/>
  <c r="D1144" i="7"/>
  <c r="D1143" i="7"/>
  <c r="D1142" i="7"/>
  <c r="D1141" i="7"/>
  <c r="D1140" i="7"/>
  <c r="D1139" i="7"/>
  <c r="D1138" i="7"/>
  <c r="D1137" i="7"/>
  <c r="D1136" i="7"/>
  <c r="D1135" i="7"/>
  <c r="D1134" i="7"/>
  <c r="D1133" i="7"/>
  <c r="D1132" i="7"/>
  <c r="D1131" i="7"/>
  <c r="D1130" i="7"/>
  <c r="D1129" i="7"/>
  <c r="D1128" i="7"/>
  <c r="D1127" i="7"/>
  <c r="D1126" i="7"/>
  <c r="D1125" i="7"/>
  <c r="D1124" i="7"/>
  <c r="D1123" i="7"/>
  <c r="D1122" i="7"/>
  <c r="D1121" i="7"/>
  <c r="D1120" i="7"/>
  <c r="D1119" i="7"/>
  <c r="D1118" i="7"/>
  <c r="D1117" i="7"/>
  <c r="D1116" i="7"/>
  <c r="D1115" i="7"/>
  <c r="D1114" i="7"/>
  <c r="D1113" i="7"/>
  <c r="D1112" i="7"/>
  <c r="D1111" i="7"/>
  <c r="D1110" i="7"/>
  <c r="D1109" i="7"/>
  <c r="D1108" i="7"/>
  <c r="D1107" i="7"/>
  <c r="D1106" i="7"/>
  <c r="D1105" i="7"/>
  <c r="D1104" i="7"/>
  <c r="D1103" i="7"/>
  <c r="D1102" i="7"/>
  <c r="D1101" i="7"/>
  <c r="D1100" i="7"/>
  <c r="D1099" i="7"/>
  <c r="D1098" i="7"/>
  <c r="D1097" i="7"/>
  <c r="D1096" i="7"/>
  <c r="D1095" i="7"/>
  <c r="D1094" i="7"/>
  <c r="D1093" i="7"/>
  <c r="D1092" i="7"/>
  <c r="D1091" i="7"/>
  <c r="D1090" i="7"/>
  <c r="D1089" i="7"/>
  <c r="D1088" i="7"/>
  <c r="D1087" i="7"/>
  <c r="D1086" i="7"/>
  <c r="D1085" i="7"/>
  <c r="D1084" i="7"/>
  <c r="D1083" i="7"/>
  <c r="D1082" i="7"/>
  <c r="D1081" i="7"/>
  <c r="D1080" i="7"/>
  <c r="D1078" i="7"/>
  <c r="D1077" i="7"/>
  <c r="D1663" i="7"/>
  <c r="D1076" i="7"/>
  <c r="D1075" i="7"/>
  <c r="D1074" i="7"/>
  <c r="D1073" i="7"/>
  <c r="D1072" i="7"/>
  <c r="D1071" i="7"/>
  <c r="D1070" i="7"/>
  <c r="D1069" i="7"/>
  <c r="D1068" i="7"/>
  <c r="D1067" i="7"/>
  <c r="D1066" i="7"/>
  <c r="D1065" i="7"/>
  <c r="D1064" i="7"/>
  <c r="D1063" i="7"/>
  <c r="D1062" i="7"/>
  <c r="D1061" i="7"/>
  <c r="D1060" i="7"/>
  <c r="D1059" i="7"/>
  <c r="D1058" i="7"/>
  <c r="D1057" i="7"/>
  <c r="D1056" i="7"/>
  <c r="D1055" i="7"/>
  <c r="D1054" i="7"/>
  <c r="D1053" i="7"/>
  <c r="D1052" i="7"/>
  <c r="D1051" i="7"/>
  <c r="D1050" i="7"/>
  <c r="D1049" i="7"/>
  <c r="D1048" i="7"/>
  <c r="D1047" i="7"/>
  <c r="D1046" i="7"/>
  <c r="D1045" i="7"/>
  <c r="D1044" i="7"/>
  <c r="D1043" i="7"/>
  <c r="D1042" i="7"/>
  <c r="D1041" i="7"/>
  <c r="D1040" i="7"/>
  <c r="D1039" i="7"/>
  <c r="D1038" i="7"/>
  <c r="D1037" i="7"/>
  <c r="D1036" i="7"/>
  <c r="D1035" i="7"/>
  <c r="D1034" i="7"/>
  <c r="D1033" i="7"/>
  <c r="D1032" i="7"/>
  <c r="D1031" i="7"/>
  <c r="D1030" i="7"/>
  <c r="D1029" i="7"/>
  <c r="D1028" i="7"/>
  <c r="D1027" i="7"/>
  <c r="D1026" i="7"/>
  <c r="D1025" i="7"/>
  <c r="D1024" i="7"/>
  <c r="D1023" i="7"/>
  <c r="D1022" i="7"/>
  <c r="D1021" i="7"/>
  <c r="D1020" i="7"/>
  <c r="D1019" i="7"/>
  <c r="D1018" i="7"/>
  <c r="D1017" i="7"/>
  <c r="D1016" i="7"/>
  <c r="D1015" i="7"/>
  <c r="D1014" i="7"/>
  <c r="D1013" i="7"/>
  <c r="D1012" i="7"/>
  <c r="D1011" i="7"/>
  <c r="D1010" i="7"/>
  <c r="D1009" i="7"/>
  <c r="D1008" i="7"/>
  <c r="D1007" i="7"/>
  <c r="D1006" i="7"/>
  <c r="D1005" i="7"/>
  <c r="D1004" i="7"/>
  <c r="D1003" i="7"/>
  <c r="D1002" i="7"/>
  <c r="D1001" i="7"/>
  <c r="D1000" i="7"/>
  <c r="D999" i="7"/>
  <c r="D998" i="7"/>
  <c r="D997" i="7"/>
  <c r="D996" i="7"/>
  <c r="D995" i="7"/>
  <c r="D994" i="7"/>
  <c r="D993" i="7"/>
  <c r="D992" i="7"/>
  <c r="D991" i="7"/>
  <c r="D990" i="7"/>
  <c r="D989" i="7"/>
  <c r="D988" i="7"/>
  <c r="D987" i="7"/>
  <c r="D986" i="7"/>
  <c r="D985" i="7"/>
  <c r="D984" i="7"/>
  <c r="D983" i="7"/>
  <c r="D982" i="7"/>
  <c r="D981" i="7"/>
  <c r="D980" i="7"/>
  <c r="D979" i="7"/>
  <c r="D978" i="7"/>
  <c r="D977" i="7"/>
  <c r="D976" i="7"/>
  <c r="D975" i="7"/>
  <c r="D974" i="7"/>
  <c r="D973" i="7"/>
  <c r="D972" i="7"/>
  <c r="D971" i="7"/>
  <c r="D970" i="7"/>
  <c r="D969" i="7"/>
  <c r="D968" i="7"/>
  <c r="D967" i="7"/>
  <c r="D966" i="7"/>
  <c r="D965" i="7"/>
  <c r="D964" i="7"/>
  <c r="D963" i="7"/>
  <c r="D962" i="7"/>
  <c r="D961" i="7"/>
  <c r="D960" i="7"/>
  <c r="D959" i="7"/>
  <c r="D958" i="7"/>
  <c r="D957" i="7"/>
  <c r="D956" i="7"/>
  <c r="D955" i="7"/>
  <c r="D954" i="7"/>
  <c r="D953" i="7"/>
  <c r="D952" i="7"/>
  <c r="D951" i="7"/>
  <c r="D950" i="7"/>
  <c r="D949" i="7"/>
  <c r="D948" i="7"/>
  <c r="D947" i="7"/>
  <c r="D946" i="7"/>
  <c r="D945" i="7"/>
  <c r="D944" i="7"/>
  <c r="D943" i="7"/>
  <c r="D942" i="7"/>
  <c r="D941" i="7"/>
  <c r="D940" i="7"/>
  <c r="D939" i="7"/>
  <c r="D938" i="7"/>
  <c r="D937" i="7"/>
  <c r="D936" i="7"/>
  <c r="D935" i="7"/>
  <c r="D934" i="7"/>
  <c r="D933" i="7"/>
  <c r="D932" i="7"/>
  <c r="D931" i="7"/>
  <c r="D930" i="7"/>
  <c r="D929" i="7"/>
  <c r="D928" i="7"/>
  <c r="D927" i="7"/>
  <c r="D926" i="7"/>
  <c r="D925" i="7"/>
  <c r="D924" i="7"/>
  <c r="D923" i="7"/>
  <c r="D922" i="7"/>
  <c r="D921" i="7"/>
  <c r="D920" i="7"/>
  <c r="D919" i="7"/>
  <c r="D918" i="7"/>
  <c r="D917" i="7"/>
  <c r="D916" i="7"/>
  <c r="D915" i="7"/>
  <c r="D914" i="7"/>
  <c r="D913" i="7"/>
  <c r="D912" i="7"/>
  <c r="D911" i="7"/>
  <c r="D910" i="7"/>
  <c r="D909" i="7"/>
  <c r="D908" i="7"/>
  <c r="D907" i="7"/>
  <c r="D906" i="7"/>
  <c r="D905" i="7"/>
  <c r="D904" i="7"/>
  <c r="D903" i="7"/>
  <c r="D902" i="7"/>
  <c r="D901" i="7"/>
  <c r="D900" i="7"/>
  <c r="D899" i="7"/>
  <c r="D898" i="7"/>
  <c r="D897" i="7"/>
  <c r="D896" i="7"/>
  <c r="D895" i="7"/>
  <c r="D894" i="7"/>
  <c r="D893" i="7"/>
  <c r="D892" i="7"/>
  <c r="D891" i="7"/>
  <c r="D890" i="7"/>
  <c r="D889" i="7"/>
  <c r="D888" i="7"/>
  <c r="D887" i="7"/>
  <c r="D886" i="7"/>
  <c r="D885" i="7"/>
  <c r="D884" i="7"/>
  <c r="D883" i="7"/>
  <c r="D882" i="7"/>
  <c r="D881" i="7"/>
  <c r="D880" i="7"/>
  <c r="D879" i="7"/>
  <c r="D878" i="7"/>
  <c r="D877" i="7"/>
  <c r="D876" i="7"/>
  <c r="D875" i="7"/>
  <c r="D874" i="7"/>
  <c r="D873" i="7"/>
  <c r="D872" i="7"/>
  <c r="D871" i="7"/>
  <c r="D870" i="7"/>
  <c r="D869" i="7"/>
  <c r="D868" i="7"/>
  <c r="D867" i="7"/>
  <c r="D866" i="7"/>
  <c r="D865" i="7"/>
  <c r="D864" i="7"/>
  <c r="D863" i="7"/>
  <c r="D862" i="7"/>
  <c r="D861" i="7"/>
  <c r="D860" i="7"/>
  <c r="D859" i="7"/>
  <c r="D858" i="7"/>
  <c r="D857" i="7"/>
  <c r="D856" i="7"/>
  <c r="D855" i="7"/>
  <c r="D854" i="7"/>
  <c r="D853" i="7"/>
  <c r="D852" i="7"/>
  <c r="D851" i="7"/>
  <c r="D850" i="7"/>
  <c r="D849" i="7"/>
  <c r="D848" i="7"/>
  <c r="D847" i="7"/>
  <c r="D846" i="7"/>
  <c r="D845" i="7"/>
  <c r="D844" i="7"/>
  <c r="D843" i="7"/>
  <c r="D842" i="7"/>
  <c r="D841" i="7"/>
  <c r="D840" i="7"/>
  <c r="D839" i="7"/>
  <c r="D838" i="7"/>
  <c r="D837" i="7"/>
  <c r="D836" i="7"/>
  <c r="D835" i="7"/>
  <c r="D834" i="7"/>
  <c r="D833" i="7"/>
  <c r="D832" i="7"/>
  <c r="D831" i="7"/>
  <c r="D830" i="7"/>
  <c r="D829" i="7"/>
  <c r="D828" i="7"/>
  <c r="D827" i="7"/>
  <c r="D826" i="7"/>
  <c r="D825" i="7"/>
  <c r="D824" i="7"/>
  <c r="D823" i="7"/>
  <c r="D822" i="7"/>
  <c r="D821" i="7"/>
  <c r="D820" i="7"/>
  <c r="D819" i="7"/>
  <c r="D818" i="7"/>
  <c r="D817" i="7"/>
  <c r="D816" i="7"/>
  <c r="D815" i="7"/>
  <c r="D814" i="7"/>
  <c r="D813" i="7"/>
  <c r="D812" i="7"/>
  <c r="D811" i="7"/>
  <c r="D810" i="7"/>
  <c r="D809" i="7"/>
  <c r="D808" i="7"/>
  <c r="D807" i="7"/>
  <c r="D806" i="7"/>
  <c r="D805" i="7"/>
  <c r="D804" i="7"/>
  <c r="D803" i="7"/>
  <c r="D802" i="7"/>
  <c r="D801" i="7"/>
  <c r="D800" i="7"/>
  <c r="D799" i="7"/>
  <c r="D798" i="7"/>
  <c r="D797" i="7"/>
  <c r="D796" i="7"/>
  <c r="D795" i="7"/>
  <c r="D794" i="7"/>
  <c r="D793" i="7"/>
  <c r="D792" i="7"/>
  <c r="D791" i="7"/>
  <c r="D790" i="7"/>
  <c r="D789" i="7"/>
  <c r="D788" i="7"/>
  <c r="D787" i="7"/>
  <c r="D786" i="7"/>
  <c r="D785" i="7"/>
  <c r="D784" i="7"/>
  <c r="D783" i="7"/>
  <c r="D782" i="7"/>
  <c r="D781" i="7"/>
  <c r="D780" i="7"/>
  <c r="D779" i="7"/>
  <c r="D778" i="7"/>
  <c r="D777" i="7"/>
  <c r="D776" i="7"/>
  <c r="D775" i="7"/>
  <c r="D774" i="7"/>
  <c r="D773" i="7"/>
  <c r="D772" i="7"/>
  <c r="D771" i="7"/>
  <c r="D770" i="7"/>
  <c r="D769" i="7"/>
  <c r="D768" i="7"/>
  <c r="D767" i="7"/>
  <c r="D766" i="7"/>
  <c r="D765" i="7"/>
  <c r="D764" i="7"/>
  <c r="D763" i="7"/>
  <c r="D762" i="7"/>
  <c r="D761" i="7"/>
  <c r="D1505" i="7"/>
  <c r="D760" i="7"/>
  <c r="D759" i="7"/>
  <c r="D758" i="7"/>
  <c r="D757" i="7"/>
  <c r="D756" i="7"/>
  <c r="D755" i="7"/>
  <c r="D754" i="7"/>
  <c r="D753" i="7"/>
  <c r="D752" i="7"/>
  <c r="D751" i="7"/>
  <c r="D750" i="7"/>
  <c r="D749" i="7"/>
  <c r="D748" i="7"/>
  <c r="D747" i="7"/>
  <c r="D746" i="7"/>
  <c r="D745" i="7"/>
  <c r="D744" i="7"/>
  <c r="D742" i="7"/>
  <c r="D741" i="7"/>
  <c r="D740" i="7"/>
  <c r="D739" i="7"/>
  <c r="D738" i="7"/>
  <c r="D737" i="7"/>
  <c r="D736" i="7"/>
  <c r="D735" i="7"/>
  <c r="D734" i="7"/>
  <c r="D733" i="7"/>
  <c r="D732" i="7"/>
  <c r="D731" i="7"/>
  <c r="D730" i="7"/>
  <c r="D729" i="7"/>
  <c r="D728" i="7"/>
  <c r="D727" i="7"/>
  <c r="D726" i="7"/>
  <c r="D725" i="7"/>
  <c r="D724" i="7"/>
  <c r="D723" i="7"/>
  <c r="D722" i="7"/>
  <c r="D721" i="7"/>
  <c r="D720" i="7"/>
  <c r="D719" i="7"/>
  <c r="D718" i="7"/>
  <c r="D717" i="7"/>
  <c r="D716" i="7"/>
  <c r="D715" i="7"/>
  <c r="D714" i="7"/>
  <c r="D713" i="7"/>
  <c r="D712" i="7"/>
  <c r="D711" i="7"/>
  <c r="D710" i="7"/>
  <c r="D709" i="7"/>
  <c r="D708" i="7"/>
  <c r="D707" i="7"/>
  <c r="D706" i="7"/>
  <c r="D705" i="7"/>
  <c r="D704" i="7"/>
  <c r="D703" i="7"/>
  <c r="D702" i="7"/>
  <c r="D701" i="7"/>
  <c r="D700" i="7"/>
  <c r="D699" i="7"/>
  <c r="D698" i="7"/>
  <c r="D697" i="7"/>
  <c r="D696" i="7"/>
  <c r="D695" i="7"/>
  <c r="D694" i="7"/>
  <c r="D693" i="7"/>
  <c r="D692" i="7"/>
  <c r="D691" i="7"/>
  <c r="D690" i="7"/>
  <c r="D689" i="7"/>
  <c r="D688" i="7"/>
  <c r="D687" i="7"/>
  <c r="D686" i="7"/>
  <c r="D685" i="7"/>
  <c r="D684" i="7"/>
  <c r="D683" i="7"/>
  <c r="D682" i="7"/>
  <c r="D681" i="7"/>
  <c r="D680" i="7"/>
  <c r="D679" i="7"/>
  <c r="D678" i="7"/>
  <c r="D677" i="7"/>
  <c r="D676" i="7"/>
  <c r="D675" i="7"/>
  <c r="D674" i="7"/>
  <c r="D673" i="7"/>
  <c r="D672" i="7"/>
  <c r="D671" i="7"/>
  <c r="D670" i="7"/>
  <c r="D669" i="7"/>
  <c r="D668" i="7"/>
  <c r="D667" i="7"/>
  <c r="D666" i="7"/>
  <c r="D665" i="7"/>
  <c r="D664" i="7"/>
  <c r="D663" i="7"/>
  <c r="D662" i="7"/>
  <c r="D661" i="7"/>
  <c r="D660" i="7"/>
  <c r="D659" i="7"/>
  <c r="D1358" i="7"/>
  <c r="D657" i="7"/>
  <c r="D656" i="7"/>
  <c r="D655" i="7"/>
  <c r="D654" i="7"/>
  <c r="D653" i="7"/>
  <c r="D652" i="7"/>
  <c r="D651" i="7"/>
  <c r="D650" i="7"/>
  <c r="D649" i="7"/>
  <c r="D648" i="7"/>
  <c r="D647" i="7"/>
  <c r="D646" i="7"/>
  <c r="D645" i="7"/>
  <c r="D644" i="7"/>
  <c r="D643" i="7"/>
  <c r="D642" i="7"/>
  <c r="D641" i="7"/>
  <c r="D640" i="7"/>
  <c r="D639" i="7"/>
  <c r="D638" i="7"/>
  <c r="D637" i="7"/>
  <c r="D636" i="7"/>
  <c r="D635" i="7"/>
  <c r="D634" i="7"/>
  <c r="D633" i="7"/>
  <c r="D632" i="7"/>
  <c r="D631" i="7"/>
  <c r="D630" i="7"/>
  <c r="D629" i="7"/>
  <c r="D628" i="7"/>
  <c r="D627" i="7"/>
  <c r="D626" i="7"/>
  <c r="D625" i="7"/>
  <c r="D624" i="7"/>
  <c r="D623" i="7"/>
  <c r="D622" i="7"/>
  <c r="D621" i="7"/>
  <c r="D1944" i="7"/>
  <c r="D619" i="7"/>
  <c r="D618" i="7"/>
  <c r="D617" i="7"/>
  <c r="D616" i="7"/>
  <c r="D615" i="7"/>
  <c r="D614" i="7"/>
  <c r="D613" i="7"/>
  <c r="D612" i="7"/>
  <c r="D611" i="7"/>
  <c r="D610" i="7"/>
  <c r="D609" i="7"/>
  <c r="D608" i="7"/>
  <c r="D606" i="7"/>
  <c r="D605" i="7"/>
  <c r="D604" i="7"/>
  <c r="D603" i="7"/>
  <c r="D602" i="7"/>
  <c r="D601" i="7"/>
  <c r="D600" i="7"/>
  <c r="D599" i="7"/>
  <c r="D598" i="7"/>
  <c r="D597" i="7"/>
  <c r="D596" i="7"/>
  <c r="D595" i="7"/>
  <c r="D594" i="7"/>
  <c r="D593" i="7"/>
  <c r="D592" i="7"/>
  <c r="D591" i="7"/>
  <c r="D590" i="7"/>
  <c r="D589" i="7"/>
  <c r="D588" i="7"/>
  <c r="D587" i="7"/>
  <c r="D586" i="7"/>
  <c r="D585" i="7"/>
  <c r="D584" i="7"/>
  <c r="D583" i="7"/>
  <c r="D582" i="7"/>
  <c r="D1943" i="7"/>
  <c r="D581" i="7"/>
  <c r="D580" i="7"/>
  <c r="D579" i="7"/>
  <c r="D578" i="7"/>
  <c r="D577" i="7"/>
  <c r="D576" i="7"/>
  <c r="D575" i="7"/>
  <c r="D574" i="7"/>
  <c r="D573" i="7"/>
  <c r="D572" i="7"/>
  <c r="D571" i="7"/>
  <c r="D570" i="7"/>
  <c r="D569" i="7"/>
  <c r="D568" i="7"/>
  <c r="D567" i="7"/>
  <c r="D566" i="7"/>
  <c r="D565" i="7"/>
  <c r="D564" i="7"/>
  <c r="D563" i="7"/>
  <c r="D562" i="7"/>
  <c r="D561" i="7"/>
  <c r="D560" i="7"/>
  <c r="D559" i="7"/>
  <c r="D558" i="7"/>
  <c r="D557" i="7"/>
  <c r="D556" i="7"/>
  <c r="D555" i="7"/>
  <c r="D554" i="7"/>
  <c r="D553" i="7"/>
  <c r="D552" i="7"/>
  <c r="D551" i="7"/>
  <c r="D550" i="7"/>
  <c r="D549" i="7"/>
  <c r="D548" i="7"/>
  <c r="D547" i="7"/>
  <c r="D546" i="7"/>
  <c r="D545" i="7"/>
  <c r="D544" i="7"/>
  <c r="D543" i="7"/>
  <c r="D542" i="7"/>
  <c r="D541" i="7"/>
  <c r="D540" i="7"/>
  <c r="D539" i="7"/>
  <c r="D538" i="7"/>
  <c r="D537" i="7"/>
  <c r="D536" i="7"/>
  <c r="D535" i="7"/>
  <c r="D534" i="7"/>
  <c r="D533" i="7"/>
  <c r="D532" i="7"/>
  <c r="D531" i="7"/>
  <c r="D530" i="7"/>
  <c r="D529" i="7"/>
  <c r="D528" i="7"/>
  <c r="D527" i="7"/>
  <c r="D526" i="7"/>
  <c r="D525" i="7"/>
  <c r="D524" i="7"/>
  <c r="D523" i="7"/>
  <c r="D522" i="7"/>
  <c r="D521" i="7"/>
  <c r="D520" i="7"/>
  <c r="D519" i="7"/>
  <c r="D518" i="7"/>
  <c r="D517" i="7"/>
  <c r="D516" i="7"/>
  <c r="D515" i="7"/>
  <c r="D514" i="7"/>
  <c r="D513" i="7"/>
  <c r="D512" i="7"/>
  <c r="D511" i="7"/>
  <c r="D510" i="7"/>
  <c r="D509" i="7"/>
  <c r="D508" i="7"/>
  <c r="D507" i="7"/>
  <c r="D506" i="7"/>
  <c r="D505" i="7"/>
  <c r="D504" i="7"/>
  <c r="D503" i="7"/>
  <c r="D502" i="7"/>
  <c r="D501" i="7"/>
  <c r="D500" i="7"/>
  <c r="D499" i="7"/>
  <c r="D498" i="7"/>
  <c r="D497" i="7"/>
  <c r="D496" i="7"/>
  <c r="D495" i="7"/>
  <c r="D494" i="7"/>
  <c r="D493" i="7"/>
  <c r="D492" i="7"/>
  <c r="D491" i="7"/>
  <c r="D490" i="7"/>
  <c r="D489" i="7"/>
  <c r="D488" i="7"/>
  <c r="D487" i="7"/>
  <c r="D485" i="7"/>
  <c r="D484" i="7"/>
  <c r="D483" i="7"/>
  <c r="D482" i="7"/>
  <c r="D481" i="7"/>
  <c r="D480" i="7"/>
  <c r="D479" i="7"/>
  <c r="D478" i="7"/>
  <c r="D477" i="7"/>
  <c r="D476" i="7"/>
  <c r="D475" i="7"/>
  <c r="D474" i="7"/>
  <c r="D471" i="7"/>
  <c r="D1925" i="7"/>
  <c r="D1683" i="7"/>
  <c r="D1488" i="7"/>
  <c r="D470" i="7"/>
  <c r="D469" i="7"/>
  <c r="D468" i="7"/>
  <c r="D467" i="7"/>
  <c r="D466" i="7"/>
  <c r="D463" i="7"/>
  <c r="D462" i="7"/>
  <c r="D461" i="7"/>
  <c r="D460" i="7"/>
  <c r="D459" i="7"/>
  <c r="D458" i="7"/>
  <c r="D457" i="7"/>
  <c r="D456" i="7"/>
  <c r="D455" i="7"/>
  <c r="D454" i="7"/>
  <c r="D453" i="7"/>
  <c r="D452" i="7"/>
  <c r="D451" i="7"/>
  <c r="D450" i="7"/>
  <c r="D449" i="7"/>
  <c r="D448" i="7"/>
  <c r="D447" i="7"/>
  <c r="D446" i="7"/>
  <c r="D445" i="7"/>
  <c r="D444" i="7"/>
  <c r="D443" i="7"/>
  <c r="D442" i="7"/>
  <c r="D441" i="7"/>
  <c r="D440" i="7"/>
  <c r="D439" i="7"/>
  <c r="D438" i="7"/>
  <c r="D437" i="7"/>
  <c r="D436" i="7"/>
  <c r="D435" i="7"/>
  <c r="D434" i="7"/>
  <c r="D433" i="7"/>
  <c r="D432" i="7"/>
  <c r="D431" i="7"/>
  <c r="D430" i="7"/>
  <c r="D429" i="7"/>
  <c r="D428" i="7"/>
  <c r="D427" i="7"/>
  <c r="D426" i="7"/>
  <c r="D425" i="7"/>
  <c r="D424" i="7"/>
  <c r="D423" i="7"/>
  <c r="D422" i="7"/>
  <c r="D421" i="7"/>
  <c r="D420" i="7"/>
  <c r="D419" i="7"/>
  <c r="D418" i="7"/>
  <c r="D417" i="7"/>
  <c r="D416" i="7"/>
  <c r="D415" i="7"/>
  <c r="D414" i="7"/>
  <c r="D413" i="7"/>
  <c r="D412" i="7"/>
  <c r="D411" i="7"/>
  <c r="D410" i="7"/>
  <c r="D409" i="7"/>
  <c r="D408" i="7"/>
  <c r="D407" i="7"/>
  <c r="D406" i="7"/>
  <c r="D405" i="7"/>
  <c r="D404" i="7"/>
  <c r="D403" i="7"/>
  <c r="D402" i="7"/>
  <c r="D401" i="7"/>
  <c r="D400" i="7"/>
  <c r="D399" i="7"/>
  <c r="D398" i="7"/>
  <c r="D397" i="7"/>
  <c r="D396" i="7"/>
  <c r="D395" i="7"/>
  <c r="D394" i="7"/>
  <c r="D393" i="7"/>
  <c r="D392" i="7"/>
  <c r="D391" i="7"/>
  <c r="D390" i="7"/>
  <c r="D389" i="7"/>
  <c r="D388" i="7"/>
  <c r="D387" i="7"/>
  <c r="D386" i="7"/>
  <c r="D385" i="7"/>
  <c r="D384" i="7"/>
  <c r="D383" i="7"/>
  <c r="D382" i="7"/>
  <c r="D381" i="7"/>
  <c r="D380" i="7"/>
  <c r="D379" i="7"/>
  <c r="D378" i="7"/>
  <c r="D377" i="7"/>
  <c r="D376" i="7"/>
  <c r="D375" i="7"/>
  <c r="D374" i="7"/>
  <c r="D373" i="7"/>
  <c r="D372" i="7"/>
  <c r="D371" i="7"/>
  <c r="D370" i="7"/>
  <c r="D369" i="7"/>
  <c r="D368" i="7"/>
  <c r="D367" i="7"/>
  <c r="D366" i="7"/>
  <c r="D365" i="7"/>
  <c r="D364" i="7"/>
  <c r="D363" i="7"/>
  <c r="D362" i="7"/>
  <c r="D361" i="7"/>
  <c r="D360" i="7"/>
  <c r="D359" i="7"/>
  <c r="D358" i="7"/>
  <c r="D1254" i="7"/>
  <c r="D357" i="7"/>
  <c r="D356" i="7"/>
  <c r="D355" i="7"/>
  <c r="D354" i="7"/>
  <c r="D353" i="7"/>
  <c r="D352" i="7"/>
  <c r="D351" i="7"/>
  <c r="D350" i="7"/>
  <c r="D349" i="7"/>
  <c r="D348" i="7"/>
  <c r="D347" i="7"/>
  <c r="D346" i="7"/>
  <c r="D345" i="7"/>
  <c r="D344" i="7"/>
  <c r="D343" i="7"/>
  <c r="D342" i="7"/>
  <c r="D341" i="7"/>
  <c r="D340" i="7"/>
  <c r="D339" i="7"/>
  <c r="D338" i="7"/>
  <c r="D337" i="7"/>
  <c r="D336" i="7"/>
  <c r="D335" i="7"/>
  <c r="D334" i="7"/>
  <c r="D333" i="7"/>
  <c r="D332" i="7"/>
  <c r="D331" i="7"/>
  <c r="D330" i="7"/>
  <c r="D329" i="7"/>
  <c r="D328" i="7"/>
  <c r="D327" i="7"/>
  <c r="D326" i="7"/>
  <c r="D323" i="7"/>
  <c r="D322" i="7"/>
  <c r="D321" i="7"/>
  <c r="D743" i="7"/>
  <c r="D320" i="7"/>
  <c r="D319" i="7"/>
  <c r="D318" i="7"/>
  <c r="D317" i="7"/>
  <c r="D316" i="7"/>
  <c r="D315" i="7"/>
  <c r="D314" i="7"/>
  <c r="D313" i="7"/>
  <c r="D312" i="7"/>
  <c r="D311" i="7"/>
  <c r="D310" i="7"/>
  <c r="D309" i="7"/>
  <c r="D308" i="7"/>
  <c r="D307" i="7"/>
  <c r="D306" i="7"/>
  <c r="D305" i="7"/>
  <c r="D304" i="7"/>
  <c r="D303" i="7"/>
  <c r="D302" i="7"/>
  <c r="D301" i="7"/>
  <c r="D300" i="7"/>
  <c r="D299" i="7"/>
  <c r="D298" i="7"/>
  <c r="D297" i="7"/>
  <c r="D296" i="7"/>
  <c r="D295" i="7"/>
  <c r="D294" i="7"/>
  <c r="D293" i="7"/>
  <c r="D292" i="7"/>
  <c r="D291" i="7"/>
  <c r="D290" i="7"/>
  <c r="D289" i="7"/>
  <c r="D288" i="7"/>
  <c r="D287" i="7"/>
  <c r="D286" i="7"/>
  <c r="D285" i="7"/>
  <c r="D284" i="7"/>
  <c r="D283" i="7"/>
  <c r="D282" i="7"/>
  <c r="D281" i="7"/>
  <c r="D280" i="7"/>
  <c r="D279" i="7"/>
  <c r="D278" i="7"/>
  <c r="D277" i="7"/>
  <c r="D276" i="7"/>
  <c r="D275" i="7"/>
  <c r="D274" i="7"/>
  <c r="D273" i="7"/>
  <c r="D272" i="7"/>
  <c r="D271" i="7"/>
  <c r="D270" i="7"/>
  <c r="D269" i="7"/>
  <c r="D268" i="7"/>
  <c r="D267" i="7"/>
  <c r="D266" i="7"/>
  <c r="D265" i="7"/>
  <c r="D264" i="7"/>
  <c r="D263" i="7"/>
  <c r="D262" i="7"/>
  <c r="D261" i="7"/>
  <c r="D260" i="7"/>
  <c r="D259" i="7"/>
  <c r="D258" i="7"/>
  <c r="D257" i="7"/>
  <c r="D256" i="7"/>
  <c r="D255" i="7"/>
  <c r="D254" i="7"/>
  <c r="D253" i="7"/>
  <c r="D252" i="7"/>
  <c r="D251" i="7"/>
  <c r="D250" i="7"/>
  <c r="D249" i="7"/>
  <c r="D248" i="7"/>
  <c r="D247" i="7"/>
  <c r="D246" i="7"/>
  <c r="D245" i="7"/>
  <c r="D244" i="7"/>
  <c r="D243" i="7"/>
  <c r="D242" i="7"/>
  <c r="D241" i="7"/>
  <c r="D240" i="7"/>
  <c r="D239" i="7"/>
  <c r="D238" i="7"/>
  <c r="D237" i="7"/>
  <c r="D236" i="7"/>
  <c r="D235" i="7"/>
  <c r="D234" i="7"/>
  <c r="D233" i="7"/>
  <c r="D232" i="7"/>
  <c r="D231" i="7"/>
  <c r="D230" i="7"/>
  <c r="D229" i="7"/>
  <c r="D228" i="7"/>
  <c r="D227" i="7"/>
  <c r="D226" i="7"/>
  <c r="D225" i="7"/>
  <c r="D224" i="7"/>
  <c r="D223" i="7"/>
  <c r="D222" i="7"/>
  <c r="D221" i="7"/>
  <c r="D220" i="7"/>
  <c r="D219" i="7"/>
  <c r="D218" i="7"/>
  <c r="D217" i="7"/>
  <c r="D216" i="7"/>
  <c r="D215" i="7"/>
  <c r="D214" i="7"/>
  <c r="D213" i="7"/>
  <c r="D212" i="7"/>
  <c r="D211" i="7"/>
  <c r="D210" i="7"/>
  <c r="D209" i="7"/>
  <c r="D208" i="7"/>
  <c r="D207" i="7"/>
  <c r="D206" i="7"/>
  <c r="D205" i="7"/>
  <c r="D204" i="7"/>
  <c r="D203" i="7"/>
  <c r="D202" i="7"/>
  <c r="D201" i="7"/>
  <c r="D200" i="7"/>
  <c r="D199" i="7"/>
  <c r="D465" i="7"/>
  <c r="D197" i="7"/>
  <c r="D196" i="7"/>
  <c r="D195" i="7"/>
  <c r="D194" i="7"/>
  <c r="D193" i="7"/>
  <c r="D192" i="7"/>
  <c r="D191" i="7"/>
  <c r="D190" i="7"/>
  <c r="D189" i="7"/>
  <c r="D188" i="7"/>
  <c r="D187" i="7"/>
  <c r="D186" i="7"/>
  <c r="D185" i="7"/>
  <c r="D184" i="7"/>
  <c r="D183" i="7"/>
  <c r="D182" i="7"/>
  <c r="D181" i="7"/>
  <c r="D180" i="7"/>
  <c r="D179" i="7"/>
  <c r="D178" i="7"/>
  <c r="D177" i="7"/>
  <c r="D176" i="7"/>
  <c r="D175" i="7"/>
  <c r="D174" i="7"/>
  <c r="D173" i="7"/>
  <c r="D172" i="7"/>
  <c r="D171" i="7"/>
  <c r="D170" i="7"/>
  <c r="D169" i="7"/>
  <c r="D168" i="7"/>
  <c r="D167" i="7"/>
  <c r="D166" i="7"/>
  <c r="D165" i="7"/>
  <c r="D164" i="7"/>
  <c r="D163" i="7"/>
  <c r="D162" i="7"/>
  <c r="D161" i="7"/>
  <c r="D160" i="7"/>
  <c r="D159" i="7"/>
  <c r="D158" i="7"/>
  <c r="D157" i="7"/>
  <c r="D156" i="7"/>
  <c r="D155" i="7"/>
  <c r="D154" i="7"/>
  <c r="D153" i="7"/>
  <c r="D152" i="7"/>
  <c r="D151" i="7"/>
  <c r="D150" i="7"/>
  <c r="D149" i="7"/>
  <c r="D148" i="7"/>
  <c r="D147" i="7"/>
  <c r="D146" i="7"/>
  <c r="D145" i="7"/>
  <c r="D144" i="7"/>
  <c r="D143" i="7"/>
  <c r="D142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D464" i="7"/>
  <c r="D325" i="7"/>
  <c r="D607" i="7"/>
  <c r="K2163" i="7" l="1"/>
  <c r="K1954" i="7"/>
  <c r="K1946" i="7"/>
  <c r="K1858" i="7"/>
  <c r="K1748" i="7"/>
  <c r="K1596" i="7"/>
  <c r="K1514" i="7"/>
  <c r="K1449" i="7"/>
  <c r="K1263" i="7"/>
  <c r="K797" i="7"/>
  <c r="K487" i="7"/>
  <c r="D15" i="2" l="1"/>
  <c r="C15" i="2"/>
  <c r="B15" i="2"/>
  <c r="D6" i="2"/>
  <c r="C6" i="2"/>
  <c r="B6" i="2"/>
  <c r="E15" i="2" l="1"/>
  <c r="E6" i="2"/>
  <c r="N66" i="3" l="1"/>
  <c r="O66" i="3" s="1"/>
  <c r="M66" i="3"/>
  <c r="L66" i="3"/>
  <c r="K66" i="3"/>
  <c r="J66" i="3"/>
  <c r="I66" i="3"/>
  <c r="H66" i="3"/>
  <c r="G66" i="3"/>
  <c r="F66" i="3"/>
  <c r="E66" i="3"/>
  <c r="D66" i="3"/>
  <c r="C66" i="3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N65" i="3" s="1"/>
  <c r="O65" i="3" s="1"/>
  <c r="O10" i="9"/>
  <c r="M65" i="3" s="1"/>
  <c r="N10" i="9"/>
  <c r="L65" i="3" s="1"/>
  <c r="M10" i="9"/>
  <c r="K65" i="3" s="1"/>
  <c r="L10" i="9"/>
  <c r="J65" i="3" s="1"/>
  <c r="K10" i="9"/>
  <c r="I65" i="3" s="1"/>
  <c r="J10" i="9"/>
  <c r="H65" i="3" s="1"/>
  <c r="I10" i="9"/>
  <c r="G65" i="3" s="1"/>
  <c r="H10" i="9"/>
  <c r="F65" i="3" s="1"/>
  <c r="G10" i="9"/>
  <c r="E65" i="3" s="1"/>
  <c r="F10" i="9"/>
  <c r="D65" i="3" s="1"/>
  <c r="E10" i="9"/>
  <c r="C65" i="3" s="1"/>
  <c r="N9" i="3"/>
  <c r="O9" i="3" s="1"/>
  <c r="M9" i="3"/>
  <c r="L9" i="3"/>
  <c r="K9" i="3"/>
  <c r="J9" i="3"/>
  <c r="I9" i="3"/>
  <c r="H9" i="3"/>
  <c r="G9" i="3"/>
  <c r="F9" i="3"/>
  <c r="E9" i="3"/>
  <c r="D9" i="3"/>
  <c r="C9" i="3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N8" i="3" s="1"/>
  <c r="O8" i="3" s="1"/>
  <c r="O9" i="9"/>
  <c r="M8" i="3" s="1"/>
  <c r="N9" i="9"/>
  <c r="L8" i="3" s="1"/>
  <c r="M9" i="9"/>
  <c r="K8" i="3" s="1"/>
  <c r="L9" i="9"/>
  <c r="J8" i="3" s="1"/>
  <c r="K9" i="9"/>
  <c r="I8" i="3" s="1"/>
  <c r="J9" i="9"/>
  <c r="H8" i="3" s="1"/>
  <c r="I9" i="9"/>
  <c r="G8" i="3" s="1"/>
  <c r="H9" i="9"/>
  <c r="F8" i="3" s="1"/>
  <c r="G9" i="9"/>
  <c r="E8" i="3" s="1"/>
  <c r="F9" i="9"/>
  <c r="D8" i="3" s="1"/>
  <c r="E9" i="9"/>
  <c r="C8" i="3" s="1"/>
  <c r="C14" i="3" s="1"/>
  <c r="D5" i="1" s="1"/>
  <c r="AO9" i="9" l="1"/>
  <c r="G5" i="1" s="1"/>
  <c r="E5" i="1"/>
  <c r="J5" i="1" s="1"/>
  <c r="N14" i="3"/>
  <c r="M14" i="3"/>
  <c r="L14" i="3"/>
  <c r="K14" i="3"/>
  <c r="J14" i="3"/>
  <c r="I14" i="3"/>
  <c r="H14" i="3"/>
  <c r="G14" i="3"/>
  <c r="D53" i="6" l="1"/>
  <c r="D93" i="6"/>
  <c r="K325" i="7"/>
  <c r="L325" i="7" s="1"/>
  <c r="K464" i="7"/>
  <c r="L464" i="7" s="1"/>
  <c r="K6" i="7"/>
  <c r="L6" i="7" s="1"/>
  <c r="K8" i="7"/>
  <c r="L8" i="7" s="1"/>
  <c r="K9" i="7"/>
  <c r="K14" i="7"/>
  <c r="K15" i="7"/>
  <c r="K16" i="7"/>
  <c r="K31" i="7"/>
  <c r="K32" i="7"/>
  <c r="K33" i="7"/>
  <c r="K56" i="7"/>
  <c r="L56" i="7" s="1"/>
  <c r="K57" i="7"/>
  <c r="L57" i="7" s="1"/>
  <c r="K58" i="7"/>
  <c r="L58" i="7" s="1"/>
  <c r="K64" i="7"/>
  <c r="K69" i="7"/>
  <c r="L69" i="7" s="1"/>
  <c r="K92" i="7"/>
  <c r="L92" i="7" s="1"/>
  <c r="K101" i="7"/>
  <c r="K123" i="7"/>
  <c r="L123" i="7" s="1"/>
  <c r="K124" i="7"/>
  <c r="L124" i="7" s="1"/>
  <c r="K125" i="7"/>
  <c r="L125" i="7" s="1"/>
  <c r="K126" i="7"/>
  <c r="L126" i="7" s="1"/>
  <c r="K127" i="7"/>
  <c r="L127" i="7" s="1"/>
  <c r="K134" i="7"/>
  <c r="L134" i="7" s="1"/>
  <c r="K135" i="7"/>
  <c r="K136" i="7"/>
  <c r="L136" i="7" s="1"/>
  <c r="K144" i="7"/>
  <c r="L144" i="7" s="1"/>
  <c r="K146" i="7"/>
  <c r="L146" i="7" s="1"/>
  <c r="K147" i="7"/>
  <c r="L147" i="7" s="1"/>
  <c r="K151" i="7"/>
  <c r="L151" i="7" s="1"/>
  <c r="K155" i="7"/>
  <c r="K167" i="7"/>
  <c r="L167" i="7" s="1"/>
  <c r="K175" i="7"/>
  <c r="L175" i="7" s="1"/>
  <c r="K465" i="7"/>
  <c r="K216" i="7"/>
  <c r="K220" i="7"/>
  <c r="K258" i="7"/>
  <c r="L258" i="7" s="1"/>
  <c r="K265" i="7"/>
  <c r="K272" i="7"/>
  <c r="K276" i="7"/>
  <c r="K280" i="7"/>
  <c r="L280" i="7" s="1"/>
  <c r="K288" i="7"/>
  <c r="L288" i="7" s="1"/>
  <c r="K296" i="7"/>
  <c r="K306" i="7"/>
  <c r="L306" i="7" s="1"/>
  <c r="K310" i="7"/>
  <c r="L310" i="7" s="1"/>
  <c r="K312" i="7"/>
  <c r="L312" i="7" s="1"/>
  <c r="K313" i="7"/>
  <c r="L313" i="7" s="1"/>
  <c r="K743" i="7"/>
  <c r="L743" i="7" s="1"/>
  <c r="K331" i="7"/>
  <c r="K343" i="7"/>
  <c r="L343" i="7" s="1"/>
  <c r="K347" i="7"/>
  <c r="L347" i="7" s="1"/>
  <c r="K348" i="7"/>
  <c r="L348" i="7" s="1"/>
  <c r="K352" i="7"/>
  <c r="K1254" i="7"/>
  <c r="L1254" i="7" s="1"/>
  <c r="K366" i="7"/>
  <c r="K368" i="7"/>
  <c r="K378" i="7"/>
  <c r="L378" i="7" s="1"/>
  <c r="K385" i="7"/>
  <c r="L385" i="7" s="1"/>
  <c r="K391" i="7"/>
  <c r="L391" i="7" s="1"/>
  <c r="K392" i="7"/>
  <c r="L392" i="7" s="1"/>
  <c r="K414" i="7"/>
  <c r="L414" i="7" s="1"/>
  <c r="K415" i="7"/>
  <c r="L415" i="7" s="1"/>
  <c r="K422" i="7"/>
  <c r="L422" i="7" s="1"/>
  <c r="K423" i="7"/>
  <c r="L423" i="7" s="1"/>
  <c r="K429" i="7"/>
  <c r="L429" i="7" s="1"/>
  <c r="K439" i="7"/>
  <c r="L439" i="7" s="1"/>
  <c r="K457" i="7"/>
  <c r="L457" i="7" s="1"/>
  <c r="K458" i="7"/>
  <c r="L458" i="7" s="1"/>
  <c r="K1488" i="7"/>
  <c r="L1488" i="7" s="1"/>
  <c r="K1683" i="7"/>
  <c r="L1683" i="7" s="1"/>
  <c r="K1925" i="7"/>
  <c r="L1925" i="7" s="1"/>
  <c r="K471" i="7"/>
  <c r="K478" i="7"/>
  <c r="K480" i="7"/>
  <c r="L480" i="7" s="1"/>
  <c r="L487" i="7"/>
  <c r="K503" i="7"/>
  <c r="L503" i="7" s="1"/>
  <c r="K505" i="7"/>
  <c r="L505" i="7" s="1"/>
  <c r="K515" i="7"/>
  <c r="K525" i="7"/>
  <c r="L525" i="7" s="1"/>
  <c r="K536" i="7"/>
  <c r="L536" i="7" s="1"/>
  <c r="K537" i="7"/>
  <c r="L537" i="7" s="1"/>
  <c r="K538" i="7"/>
  <c r="L538" i="7" s="1"/>
  <c r="K539" i="7"/>
  <c r="L539" i="7" s="1"/>
  <c r="K540" i="7"/>
  <c r="L540" i="7" s="1"/>
  <c r="K580" i="7"/>
  <c r="L580" i="7" s="1"/>
  <c r="K581" i="7"/>
  <c r="L581" i="7" s="1"/>
  <c r="K591" i="7"/>
  <c r="L591" i="7" s="1"/>
  <c r="K592" i="7"/>
  <c r="L592" i="7" s="1"/>
  <c r="K599" i="7"/>
  <c r="L599" i="7" s="1"/>
  <c r="K612" i="7"/>
  <c r="L612" i="7" s="1"/>
  <c r="K618" i="7"/>
  <c r="L618" i="7" s="1"/>
  <c r="K624" i="7"/>
  <c r="L624" i="7" s="1"/>
  <c r="K630" i="7"/>
  <c r="L630" i="7" s="1"/>
  <c r="K640" i="7"/>
  <c r="L640" i="7" s="1"/>
  <c r="K641" i="7"/>
  <c r="L641" i="7" s="1"/>
  <c r="K645" i="7"/>
  <c r="L645" i="7" s="1"/>
  <c r="K646" i="7"/>
  <c r="L646" i="7" s="1"/>
  <c r="K648" i="7"/>
  <c r="L648" i="7" s="1"/>
  <c r="K651" i="7"/>
  <c r="L651" i="7" s="1"/>
  <c r="K661" i="7"/>
  <c r="L661" i="7" s="1"/>
  <c r="K736" i="7"/>
  <c r="L736" i="7" s="1"/>
  <c r="K737" i="7"/>
  <c r="L737" i="7" s="1"/>
  <c r="K750" i="7"/>
  <c r="K759" i="7"/>
  <c r="L759" i="7" s="1"/>
  <c r="K760" i="7"/>
  <c r="L760" i="7" s="1"/>
  <c r="K794" i="7"/>
  <c r="L794" i="7" s="1"/>
  <c r="L797" i="7"/>
  <c r="K830" i="7"/>
  <c r="L830" i="7" s="1"/>
  <c r="K833" i="7"/>
  <c r="K844" i="7"/>
  <c r="L844" i="7" s="1"/>
  <c r="K849" i="7"/>
  <c r="L849" i="7" s="1"/>
  <c r="K852" i="7"/>
  <c r="L852" i="7" s="1"/>
  <c r="K855" i="7"/>
  <c r="L855" i="7" s="1"/>
  <c r="K856" i="7"/>
  <c r="L856" i="7" s="1"/>
  <c r="K863" i="7"/>
  <c r="L863" i="7" s="1"/>
  <c r="K864" i="7"/>
  <c r="K873" i="7"/>
  <c r="L873" i="7" s="1"/>
  <c r="K874" i="7"/>
  <c r="K883" i="7"/>
  <c r="L883" i="7" s="1"/>
  <c r="K888" i="7"/>
  <c r="L888" i="7" s="1"/>
  <c r="K898" i="7"/>
  <c r="L898" i="7" s="1"/>
  <c r="K908" i="7"/>
  <c r="L908" i="7" s="1"/>
  <c r="K915" i="7"/>
  <c r="K929" i="7"/>
  <c r="L929" i="7" s="1"/>
  <c r="K933" i="7"/>
  <c r="L933" i="7" s="1"/>
  <c r="K944" i="7"/>
  <c r="L944" i="7" s="1"/>
  <c r="K951" i="7"/>
  <c r="L951" i="7" s="1"/>
  <c r="K966" i="7"/>
  <c r="L966" i="7" s="1"/>
  <c r="K967" i="7"/>
  <c r="L967" i="7" s="1"/>
  <c r="K968" i="7"/>
  <c r="L968" i="7" s="1"/>
  <c r="K969" i="7"/>
  <c r="L969" i="7" s="1"/>
  <c r="K978" i="7"/>
  <c r="L978" i="7" s="1"/>
  <c r="K991" i="7"/>
  <c r="L991" i="7" s="1"/>
  <c r="K992" i="7"/>
  <c r="L992" i="7" s="1"/>
  <c r="K1005" i="7"/>
  <c r="L1005" i="7" s="1"/>
  <c r="K1006" i="7"/>
  <c r="L1006" i="7" s="1"/>
  <c r="K1007" i="7"/>
  <c r="L1007" i="7" s="1"/>
  <c r="K1008" i="7"/>
  <c r="L1008" i="7" s="1"/>
  <c r="K1066" i="7"/>
  <c r="L1066" i="7" s="1"/>
  <c r="K1077" i="7"/>
  <c r="L1077" i="7" s="1"/>
  <c r="K1084" i="7"/>
  <c r="L1084" i="7" s="1"/>
  <c r="K1098" i="7"/>
  <c r="L1098" i="7" s="1"/>
  <c r="K1110" i="7"/>
  <c r="L1110" i="7" s="1"/>
  <c r="K1115" i="7"/>
  <c r="L1115" i="7" s="1"/>
  <c r="K1125" i="7"/>
  <c r="L1125" i="7" s="1"/>
  <c r="K1126" i="7"/>
  <c r="L1126" i="7" s="1"/>
  <c r="K1127" i="7"/>
  <c r="L1127" i="7" s="1"/>
  <c r="K1143" i="7"/>
  <c r="L1143" i="7" s="1"/>
  <c r="K1188" i="7"/>
  <c r="L1188" i="7" s="1"/>
  <c r="K1241" i="7"/>
  <c r="L1241" i="7" s="1"/>
  <c r="K1244" i="7"/>
  <c r="L1244" i="7" s="1"/>
  <c r="K1245" i="7"/>
  <c r="L1245" i="7" s="1"/>
  <c r="K1246" i="7"/>
  <c r="L1246" i="7" s="1"/>
  <c r="K1250" i="7"/>
  <c r="K1253" i="7"/>
  <c r="L1259" i="7"/>
  <c r="K1260" i="7"/>
  <c r="L1260" i="7" s="1"/>
  <c r="L1263" i="7"/>
  <c r="K1264" i="7"/>
  <c r="K1269" i="7"/>
  <c r="K1327" i="7"/>
  <c r="K1339" i="7"/>
  <c r="L1339" i="7" s="1"/>
  <c r="K1342" i="7"/>
  <c r="L1342" i="7" s="1"/>
  <c r="L1343" i="7"/>
  <c r="K1417" i="7"/>
  <c r="L1417" i="7" s="1"/>
  <c r="K1423" i="7"/>
  <c r="L1423" i="7" s="1"/>
  <c r="K1436" i="7"/>
  <c r="K1437" i="7"/>
  <c r="L1437" i="7" s="1"/>
  <c r="K1440" i="7"/>
  <c r="L1440" i="7" s="1"/>
  <c r="K1447" i="7"/>
  <c r="L1447" i="7" s="1"/>
  <c r="L1449" i="7"/>
  <c r="K1450" i="7"/>
  <c r="L1450" i="7" s="1"/>
  <c r="K1456" i="7"/>
  <c r="K1483" i="7"/>
  <c r="K1487" i="7"/>
  <c r="L1487" i="7" s="1"/>
  <c r="K1495" i="7"/>
  <c r="L1495" i="7" s="1"/>
  <c r="K1496" i="7"/>
  <c r="L1496" i="7" s="1"/>
  <c r="K1497" i="7"/>
  <c r="L1497" i="7" s="1"/>
  <c r="L1499" i="7"/>
  <c r="K1511" i="7"/>
  <c r="L1511" i="7" s="1"/>
  <c r="K1512" i="7"/>
  <c r="L1512" i="7" s="1"/>
  <c r="L1514" i="7"/>
  <c r="L1515" i="7"/>
  <c r="K1516" i="7"/>
  <c r="L1516" i="7" s="1"/>
  <c r="K1525" i="7"/>
  <c r="L1525" i="7" s="1"/>
  <c r="K1542" i="7"/>
  <c r="L1542" i="7" s="1"/>
  <c r="K1553" i="7"/>
  <c r="L1553" i="7" s="1"/>
  <c r="K1561" i="7"/>
  <c r="K1563" i="7"/>
  <c r="L1563" i="7" s="1"/>
  <c r="K1574" i="7"/>
  <c r="L1574" i="7" s="1"/>
  <c r="K1576" i="7"/>
  <c r="L1576" i="7" s="1"/>
  <c r="K1582" i="7"/>
  <c r="K1590" i="7"/>
  <c r="L1590" i="7" s="1"/>
  <c r="L1596" i="7"/>
  <c r="L1597" i="7"/>
  <c r="K1604" i="7"/>
  <c r="L1604" i="7" s="1"/>
  <c r="K1607" i="7"/>
  <c r="L1607" i="7" s="1"/>
  <c r="K1610" i="7"/>
  <c r="L1610" i="7" s="1"/>
  <c r="K1612" i="7"/>
  <c r="L1612" i="7" s="1"/>
  <c r="K1616" i="7"/>
  <c r="L1616" i="7" s="1"/>
  <c r="K1624" i="7"/>
  <c r="L1624" i="7" s="1"/>
  <c r="K1627" i="7"/>
  <c r="L1627" i="7" s="1"/>
  <c r="K1630" i="7"/>
  <c r="L1630" i="7" s="1"/>
  <c r="K1632" i="7"/>
  <c r="L1632" i="7" s="1"/>
  <c r="L1262" i="7"/>
  <c r="L1357" i="7"/>
  <c r="L1504" i="7"/>
  <c r="L1595" i="7"/>
  <c r="L1599" i="7"/>
  <c r="K1633" i="7"/>
  <c r="L1633" i="7" s="1"/>
  <c r="K1634" i="7"/>
  <c r="L1634" i="7" s="1"/>
  <c r="K1635" i="7"/>
  <c r="L1635" i="7" s="1"/>
  <c r="L1666" i="7"/>
  <c r="L1685" i="7"/>
  <c r="L1690" i="7"/>
  <c r="L1745" i="7"/>
  <c r="L1772" i="7"/>
  <c r="L1844" i="7"/>
  <c r="K1640" i="7"/>
  <c r="L1640" i="7" s="1"/>
  <c r="K1651" i="7"/>
  <c r="L1651" i="7" s="1"/>
  <c r="K1655" i="7"/>
  <c r="L1655" i="7" s="1"/>
  <c r="K1660" i="7"/>
  <c r="L1660" i="7" s="1"/>
  <c r="K1670" i="7"/>
  <c r="L1670" i="7" s="1"/>
  <c r="L1671" i="7"/>
  <c r="K1676" i="7"/>
  <c r="L1676" i="7" s="1"/>
  <c r="K1679" i="7"/>
  <c r="L1679" i="7" s="1"/>
  <c r="K1681" i="7"/>
  <c r="L1681" i="7" s="1"/>
  <c r="K1687" i="7"/>
  <c r="L1687" i="7" s="1"/>
  <c r="L1688" i="7"/>
  <c r="K1692" i="7"/>
  <c r="K1714" i="7"/>
  <c r="L1714" i="7" s="1"/>
  <c r="K1715" i="7"/>
  <c r="L1715" i="7" s="1"/>
  <c r="K1721" i="7"/>
  <c r="K1724" i="7"/>
  <c r="L1724" i="7" s="1"/>
  <c r="L1742" i="7"/>
  <c r="K1743" i="7"/>
  <c r="L1743" i="7" s="1"/>
  <c r="L1747" i="7"/>
  <c r="L1748" i="7"/>
  <c r="K1760" i="7"/>
  <c r="K1768" i="7"/>
  <c r="K1776" i="7"/>
  <c r="L1776" i="7" s="1"/>
  <c r="K1787" i="7"/>
  <c r="L1787" i="7" s="1"/>
  <c r="K1792" i="7"/>
  <c r="L1792" i="7" s="1"/>
  <c r="K1801" i="7"/>
  <c r="L1801" i="7" s="1"/>
  <c r="K1807" i="7"/>
  <c r="L1807" i="7" s="1"/>
  <c r="K1808" i="7"/>
  <c r="L1808" i="7" s="1"/>
  <c r="K1811" i="7"/>
  <c r="L1811" i="7" s="1"/>
  <c r="K1812" i="7"/>
  <c r="L1812" i="7" s="1"/>
  <c r="K1813" i="7"/>
  <c r="L1813" i="7" s="1"/>
  <c r="K1814" i="7"/>
  <c r="L1814" i="7" s="1"/>
  <c r="L1818" i="7"/>
  <c r="K1819" i="7"/>
  <c r="L1819" i="7" s="1"/>
  <c r="K1820" i="7"/>
  <c r="L1820" i="7" s="1"/>
  <c r="K1822" i="7"/>
  <c r="L1822" i="7" s="1"/>
  <c r="K1824" i="7"/>
  <c r="L1824" i="7" s="1"/>
  <c r="K1825" i="7"/>
  <c r="L1825" i="7" s="1"/>
  <c r="K1834" i="7"/>
  <c r="K1841" i="7"/>
  <c r="L1841" i="7" s="1"/>
  <c r="K1849" i="7"/>
  <c r="L1849" i="7" s="1"/>
  <c r="K1850" i="7"/>
  <c r="L1850" i="7" s="1"/>
  <c r="L1851" i="7"/>
  <c r="K1852" i="7"/>
  <c r="L1852" i="7" s="1"/>
  <c r="K1853" i="7"/>
  <c r="L1853" i="7" s="1"/>
  <c r="K1854" i="7"/>
  <c r="L1854" i="7" s="1"/>
  <c r="K1855" i="7"/>
  <c r="L1855" i="7" s="1"/>
  <c r="K1857" i="7"/>
  <c r="L1858" i="7"/>
  <c r="K1859" i="7"/>
  <c r="K1861" i="7"/>
  <c r="L1861" i="7" s="1"/>
  <c r="K1862" i="7"/>
  <c r="L1862" i="7" s="1"/>
  <c r="K1863" i="7"/>
  <c r="L1863" i="7" s="1"/>
  <c r="K1864" i="7"/>
  <c r="L1864" i="7" s="1"/>
  <c r="K1867" i="7"/>
  <c r="L1867" i="7" s="1"/>
  <c r="K1869" i="7"/>
  <c r="L1869" i="7" s="1"/>
  <c r="K1871" i="7"/>
  <c r="L1871" i="7" s="1"/>
  <c r="K1878" i="7"/>
  <c r="L1878" i="7" s="1"/>
  <c r="K1879" i="7"/>
  <c r="L1879" i="7" s="1"/>
  <c r="K1881" i="7"/>
  <c r="L1881" i="7" s="1"/>
  <c r="K1882" i="7"/>
  <c r="L1882" i="7" s="1"/>
  <c r="K1883" i="7"/>
  <c r="L1883" i="7" s="1"/>
  <c r="K1884" i="7"/>
  <c r="L1884" i="7" s="1"/>
  <c r="K2186" i="7"/>
  <c r="L2186" i="7" s="1"/>
  <c r="K2187" i="7"/>
  <c r="L2187" i="7" s="1"/>
  <c r="K2188" i="7"/>
  <c r="L2188" i="7" s="1"/>
  <c r="L1909" i="7"/>
  <c r="L1927" i="7"/>
  <c r="L1946" i="7"/>
  <c r="L1948" i="7"/>
  <c r="L2011" i="7"/>
  <c r="K2012" i="7"/>
  <c r="L2012" i="7" s="1"/>
  <c r="L2105" i="7"/>
  <c r="L2115" i="7"/>
  <c r="K1885" i="7"/>
  <c r="L1885" i="7" s="1"/>
  <c r="K1888" i="7"/>
  <c r="L1888" i="7" s="1"/>
  <c r="K1890" i="7"/>
  <c r="K1898" i="7"/>
  <c r="L1898" i="7" s="1"/>
  <c r="K1904" i="7"/>
  <c r="L1904" i="7" s="1"/>
  <c r="K1906" i="7"/>
  <c r="L1906" i="7" s="1"/>
  <c r="K1907" i="7"/>
  <c r="L1907" i="7" s="1"/>
  <c r="K1913" i="7"/>
  <c r="L1913" i="7" s="1"/>
  <c r="L1914" i="7"/>
  <c r="K1919" i="7"/>
  <c r="L1919" i="7" s="1"/>
  <c r="K1923" i="7"/>
  <c r="L1923" i="7" s="1"/>
  <c r="K1932" i="7"/>
  <c r="L1932" i="7" s="1"/>
  <c r="L1934" i="7"/>
  <c r="K1936" i="7"/>
  <c r="L1936" i="7" s="1"/>
  <c r="K1937" i="7"/>
  <c r="K1939" i="7"/>
  <c r="L1939" i="7" s="1"/>
  <c r="L1954" i="7"/>
  <c r="K1987" i="7"/>
  <c r="L1987" i="7" s="1"/>
  <c r="K1995" i="7"/>
  <c r="L1995" i="7" s="1"/>
  <c r="K2000" i="7"/>
  <c r="L2000" i="7" s="1"/>
  <c r="K2002" i="7"/>
  <c r="L2002" i="7" s="1"/>
  <c r="L2010" i="7"/>
  <c r="K2015" i="7"/>
  <c r="L2015" i="7" s="1"/>
  <c r="K2016" i="7"/>
  <c r="L2016" i="7" s="1"/>
  <c r="K2057" i="7"/>
  <c r="L2057" i="7" s="1"/>
  <c r="K2058" i="7"/>
  <c r="L2058" i="7" s="1"/>
  <c r="K2077" i="7"/>
  <c r="L2077" i="7" s="1"/>
  <c r="K2078" i="7"/>
  <c r="L2078" i="7" s="1"/>
  <c r="K2079" i="7"/>
  <c r="L2079" i="7" s="1"/>
  <c r="K2087" i="7"/>
  <c r="L2088" i="7"/>
  <c r="K2090" i="7"/>
  <c r="L2090" i="7" s="1"/>
  <c r="K2093" i="7"/>
  <c r="L2093" i="7" s="1"/>
  <c r="K2096" i="7"/>
  <c r="L2096" i="7" s="1"/>
  <c r="K2104" i="7"/>
  <c r="L2104" i="7" s="1"/>
  <c r="K2109" i="7"/>
  <c r="L2109" i="7" s="1"/>
  <c r="K2111" i="7"/>
  <c r="L2111" i="7" s="1"/>
  <c r="L2112" i="7"/>
  <c r="K2128" i="7"/>
  <c r="L2128" i="7" s="1"/>
  <c r="K2133" i="7"/>
  <c r="L2133" i="7" s="1"/>
  <c r="K2139" i="7"/>
  <c r="K2146" i="7"/>
  <c r="L2149" i="7"/>
  <c r="K2151" i="7"/>
  <c r="L2151" i="7" s="1"/>
  <c r="L2163" i="7"/>
  <c r="K2164" i="7"/>
  <c r="L2164" i="7" s="1"/>
  <c r="K2165" i="7"/>
  <c r="L2165" i="7" s="1"/>
  <c r="K2185" i="7"/>
  <c r="L2185" i="7" s="1"/>
  <c r="K2189" i="7"/>
  <c r="K2191" i="7"/>
  <c r="L2191" i="7" s="1"/>
  <c r="L750" i="7" l="1"/>
  <c r="L465" i="7"/>
  <c r="L1859" i="7"/>
  <c r="L2087" i="7"/>
  <c r="L1857" i="7"/>
  <c r="L864" i="7"/>
  <c r="L64" i="7"/>
  <c r="L2139" i="7"/>
  <c r="L1834" i="7"/>
  <c r="L1721" i="7"/>
  <c r="L1253" i="7"/>
  <c r="L915" i="7"/>
  <c r="L478" i="7"/>
  <c r="L1483" i="7"/>
  <c r="L1768" i="7"/>
  <c r="L1250" i="7"/>
  <c r="L1890" i="7"/>
  <c r="L1760" i="7"/>
  <c r="L1582" i="7"/>
  <c r="L1327" i="7"/>
  <c r="L1692" i="7"/>
  <c r="L1264" i="7"/>
  <c r="L1269" i="7"/>
  <c r="L1436" i="7"/>
  <c r="L874" i="7"/>
  <c r="L135" i="7"/>
  <c r="L2146" i="7"/>
  <c r="L2189" i="7"/>
  <c r="L1937" i="7"/>
  <c r="L1561" i="7"/>
  <c r="L1456" i="7"/>
  <c r="L833" i="7"/>
  <c r="L515" i="7"/>
  <c r="L368" i="7"/>
  <c r="L276" i="7"/>
  <c r="F73" i="3"/>
  <c r="N73" i="3"/>
  <c r="J73" i="3"/>
  <c r="E73" i="3"/>
  <c r="G73" i="3"/>
  <c r="K73" i="3"/>
  <c r="C73" i="3"/>
  <c r="M73" i="3"/>
  <c r="D73" i="3"/>
  <c r="H73" i="3"/>
  <c r="L73" i="3"/>
  <c r="I73" i="3"/>
  <c r="L296" i="7"/>
  <c r="L216" i="7"/>
  <c r="L33" i="7"/>
  <c r="L101" i="7"/>
  <c r="L32" i="7"/>
  <c r="L471" i="7"/>
  <c r="L331" i="7"/>
  <c r="L31" i="7"/>
  <c r="L16" i="7"/>
  <c r="L366" i="7"/>
  <c r="L272" i="7"/>
  <c r="L155" i="7"/>
  <c r="L15" i="7"/>
  <c r="L265" i="7"/>
  <c r="L14" i="7"/>
  <c r="L352" i="7"/>
  <c r="L9" i="7"/>
  <c r="L220" i="7"/>
  <c r="D96" i="6"/>
  <c r="D95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3" i="6"/>
  <c r="D72" i="6"/>
  <c r="D71" i="6"/>
  <c r="D70" i="6"/>
  <c r="D69" i="6"/>
  <c r="D67" i="6"/>
  <c r="D66" i="6"/>
  <c r="D65" i="6"/>
  <c r="D64" i="6"/>
  <c r="D63" i="6"/>
  <c r="D62" i="6"/>
  <c r="D61" i="6"/>
  <c r="D60" i="6"/>
  <c r="D59" i="6"/>
  <c r="D58" i="6"/>
  <c r="D57" i="6"/>
  <c r="D56" i="6"/>
  <c r="D52" i="6"/>
  <c r="D51" i="6"/>
  <c r="D50" i="6"/>
  <c r="D49" i="6"/>
  <c r="D48" i="6"/>
  <c r="D47" i="6"/>
  <c r="D46" i="6"/>
  <c r="D45" i="6"/>
  <c r="D44" i="6"/>
  <c r="D42" i="6"/>
  <c r="D41" i="6"/>
  <c r="D40" i="6"/>
  <c r="D39" i="6"/>
  <c r="D38" i="6"/>
  <c r="D37" i="6"/>
  <c r="D36" i="6"/>
  <c r="D32" i="6"/>
  <c r="D31" i="6"/>
  <c r="D30" i="6"/>
  <c r="D29" i="6"/>
  <c r="D27" i="6"/>
  <c r="D26" i="6"/>
  <c r="D25" i="6"/>
  <c r="D24" i="6"/>
  <c r="D23" i="6"/>
  <c r="D22" i="6"/>
  <c r="D21" i="6"/>
  <c r="D15" i="6"/>
  <c r="D14" i="6"/>
  <c r="D12" i="6"/>
  <c r="D11" i="6"/>
  <c r="A797" i="7" l="1"/>
  <c r="A525" i="7"/>
  <c r="A31" i="7"/>
  <c r="A888" i="7"/>
  <c r="A391" i="7"/>
  <c r="A1853" i="7"/>
  <c r="A1885" i="7"/>
  <c r="A537" i="7"/>
  <c r="A1923" i="7"/>
  <c r="K449" i="7"/>
  <c r="K543" i="7"/>
  <c r="K1424" i="7"/>
  <c r="K1432" i="7"/>
  <c r="K1735" i="7"/>
  <c r="K450" i="7"/>
  <c r="K544" i="7"/>
  <c r="K653" i="7"/>
  <c r="K1433" i="7"/>
  <c r="K1726" i="7"/>
  <c r="K1839" i="7"/>
  <c r="K2102" i="7"/>
  <c r="K154" i="7"/>
  <c r="K451" i="7"/>
  <c r="A451" i="7" s="1"/>
  <c r="K545" i="7"/>
  <c r="K772" i="7"/>
  <c r="K1002" i="7"/>
  <c r="K1057" i="7"/>
  <c r="K1409" i="7"/>
  <c r="K1712" i="7"/>
  <c r="K2103" i="7"/>
  <c r="K657" i="7"/>
  <c r="K773" i="7"/>
  <c r="K823" i="7"/>
  <c r="K916" i="7"/>
  <c r="K1003" i="7"/>
  <c r="K1410" i="7"/>
  <c r="K1713" i="7"/>
  <c r="K1749" i="7"/>
  <c r="K1985" i="7"/>
  <c r="K354" i="7"/>
  <c r="K950" i="7"/>
  <c r="K1004" i="7"/>
  <c r="K1411" i="7"/>
  <c r="K1918" i="7"/>
  <c r="K2055" i="7"/>
  <c r="K169" i="7"/>
  <c r="K320" i="7"/>
  <c r="K355" i="7"/>
  <c r="K755" i="7"/>
  <c r="K1438" i="7"/>
  <c r="K1764" i="7"/>
  <c r="K1829" i="7"/>
  <c r="K170" i="7"/>
  <c r="K356" i="7"/>
  <c r="K571" i="7"/>
  <c r="K756" i="7"/>
  <c r="K1767" i="7"/>
  <c r="K1830" i="7"/>
  <c r="A1830" i="7" s="1"/>
  <c r="K2076" i="7"/>
  <c r="K2095" i="7"/>
  <c r="K1075" i="7"/>
  <c r="K1173" i="7"/>
  <c r="K1734" i="7"/>
  <c r="K1833" i="7"/>
  <c r="K4" i="7"/>
  <c r="K52" i="7"/>
  <c r="K102" i="7"/>
  <c r="K152" i="7"/>
  <c r="K162" i="7"/>
  <c r="K172" i="7"/>
  <c r="K194" i="7"/>
  <c r="A194" i="7" s="1"/>
  <c r="K215" i="7"/>
  <c r="K300" i="7"/>
  <c r="K358" i="7"/>
  <c r="K481" i="7"/>
  <c r="K555" i="7"/>
  <c r="K577" i="7"/>
  <c r="K586" i="7"/>
  <c r="K597" i="7"/>
  <c r="K635" i="7"/>
  <c r="A635" i="7" s="1"/>
  <c r="K738" i="7"/>
  <c r="K770" i="7"/>
  <c r="K778" i="7"/>
  <c r="K834" i="7"/>
  <c r="K866" i="7"/>
  <c r="K880" i="7"/>
  <c r="K891" i="7"/>
  <c r="K913" i="7"/>
  <c r="K997" i="7"/>
  <c r="K1019" i="7"/>
  <c r="K1663" i="7"/>
  <c r="K1175" i="7"/>
  <c r="K1216" i="7"/>
  <c r="K1224" i="7"/>
  <c r="K1232" i="7"/>
  <c r="K1255" i="7"/>
  <c r="K1338" i="7"/>
  <c r="K1367" i="7"/>
  <c r="K1079" i="7"/>
  <c r="K1448" i="7"/>
  <c r="K1517" i="7"/>
  <c r="K1555" i="7"/>
  <c r="K1589" i="7"/>
  <c r="K1674" i="7"/>
  <c r="K1702" i="7"/>
  <c r="K1710" i="7"/>
  <c r="K1725" i="7"/>
  <c r="K1746" i="7"/>
  <c r="K1845" i="7"/>
  <c r="K1931" i="7"/>
  <c r="K1965" i="7"/>
  <c r="K1973" i="7"/>
  <c r="K1981" i="7"/>
  <c r="K2009" i="7"/>
  <c r="K2023" i="7"/>
  <c r="K2031" i="7"/>
  <c r="K2060" i="7"/>
  <c r="K2068" i="7"/>
  <c r="K2086" i="7"/>
  <c r="K2101" i="7"/>
  <c r="K2176" i="7"/>
  <c r="K1673" i="7"/>
  <c r="K53" i="7"/>
  <c r="K153" i="7"/>
  <c r="K163" i="7"/>
  <c r="K195" i="7"/>
  <c r="K268" i="7"/>
  <c r="K289" i="7"/>
  <c r="K359" i="7"/>
  <c r="K369" i="7"/>
  <c r="K389" i="7"/>
  <c r="K556" i="7"/>
  <c r="K587" i="7"/>
  <c r="K639" i="7"/>
  <c r="K739" i="7"/>
  <c r="K1505" i="7"/>
  <c r="K771" i="7"/>
  <c r="K779" i="7"/>
  <c r="K805" i="7"/>
  <c r="K869" i="7"/>
  <c r="A869" i="7" s="1"/>
  <c r="K914" i="7"/>
  <c r="K935" i="7"/>
  <c r="K998" i="7"/>
  <c r="K1012" i="7"/>
  <c r="K1020" i="7"/>
  <c r="K1184" i="7"/>
  <c r="K1217" i="7"/>
  <c r="K1225" i="7"/>
  <c r="K1489" i="7"/>
  <c r="K1368" i="7"/>
  <c r="K1425" i="7"/>
  <c r="K1441" i="7"/>
  <c r="K1521" i="7"/>
  <c r="K1556" i="7"/>
  <c r="K1695" i="7"/>
  <c r="K1703" i="7"/>
  <c r="K1711" i="7"/>
  <c r="K1736" i="7"/>
  <c r="K1945" i="7"/>
  <c r="K1769" i="7"/>
  <c r="K1900" i="7"/>
  <c r="K1958" i="7"/>
  <c r="K1966" i="7"/>
  <c r="K1974" i="7"/>
  <c r="K1982" i="7"/>
  <c r="K2004" i="7"/>
  <c r="K2024" i="7"/>
  <c r="K2032" i="7"/>
  <c r="K2061" i="7"/>
  <c r="K2069" i="7"/>
  <c r="K2116" i="7"/>
  <c r="K2154" i="7"/>
  <c r="K2177" i="7"/>
  <c r="K473" i="7"/>
  <c r="K43" i="7"/>
  <c r="A43" i="7" s="1"/>
  <c r="K55" i="7"/>
  <c r="K95" i="7"/>
  <c r="K164" i="7"/>
  <c r="K176" i="7"/>
  <c r="K196" i="7"/>
  <c r="K290" i="7"/>
  <c r="K360" i="7"/>
  <c r="K373" i="7"/>
  <c r="K424" i="7"/>
  <c r="K557" i="7"/>
  <c r="L557" i="7" s="1"/>
  <c r="K588" i="7"/>
  <c r="K600" i="7"/>
  <c r="K626" i="7"/>
  <c r="K655" i="7"/>
  <c r="K740" i="7"/>
  <c r="K764" i="7"/>
  <c r="K780" i="7"/>
  <c r="A780" i="7" s="1"/>
  <c r="K806" i="7"/>
  <c r="K871" i="7"/>
  <c r="K885" i="7"/>
  <c r="K899" i="7"/>
  <c r="K940" i="7"/>
  <c r="K975" i="7"/>
  <c r="K1013" i="7"/>
  <c r="K1081" i="7"/>
  <c r="K1133" i="7"/>
  <c r="K1185" i="7"/>
  <c r="K1218" i="7"/>
  <c r="K1226" i="7"/>
  <c r="K1243" i="7"/>
  <c r="K1426" i="7"/>
  <c r="K1435" i="7"/>
  <c r="K1442" i="7"/>
  <c r="K1522" i="7"/>
  <c r="K1583" i="7"/>
  <c r="K1656" i="7"/>
  <c r="A1656" i="7" s="1"/>
  <c r="K1696" i="7"/>
  <c r="K1704" i="7"/>
  <c r="K1728" i="7"/>
  <c r="K1737" i="7"/>
  <c r="K1775" i="7"/>
  <c r="K1902" i="7"/>
  <c r="K1915" i="7"/>
  <c r="K1959" i="7"/>
  <c r="K1967" i="7"/>
  <c r="K1975" i="7"/>
  <c r="K1983" i="7"/>
  <c r="K472" i="7"/>
  <c r="K2025" i="7"/>
  <c r="K2033" i="7"/>
  <c r="K2062" i="7"/>
  <c r="K2070" i="7"/>
  <c r="K2080" i="7"/>
  <c r="K2161" i="7"/>
  <c r="K44" i="7"/>
  <c r="K96" i="7"/>
  <c r="K139" i="7"/>
  <c r="K177" i="7"/>
  <c r="K242" i="7"/>
  <c r="K291" i="7"/>
  <c r="K361" i="7"/>
  <c r="K374" i="7"/>
  <c r="A374" i="7" s="1"/>
  <c r="K425" i="7"/>
  <c r="K453" i="7"/>
  <c r="K492" i="7"/>
  <c r="K548" i="7"/>
  <c r="K558" i="7"/>
  <c r="K1943" i="7"/>
  <c r="K589" i="7"/>
  <c r="K603" i="7"/>
  <c r="K627" i="7"/>
  <c r="K765" i="7"/>
  <c r="K781" i="7"/>
  <c r="L781" i="7" s="1"/>
  <c r="K886" i="7"/>
  <c r="K900" i="7"/>
  <c r="K976" i="7"/>
  <c r="K1014" i="7"/>
  <c r="K1061" i="7"/>
  <c r="K1186" i="7"/>
  <c r="K1219" i="7"/>
  <c r="K1227" i="7"/>
  <c r="K1427" i="7"/>
  <c r="K1443" i="7"/>
  <c r="K1523" i="7"/>
  <c r="K1584" i="7"/>
  <c r="K1657" i="7"/>
  <c r="K1680" i="7"/>
  <c r="K1697" i="7"/>
  <c r="K1705" i="7"/>
  <c r="K1729" i="7"/>
  <c r="K1738" i="7"/>
  <c r="K1847" i="7"/>
  <c r="K1903" i="7"/>
  <c r="K1917" i="7"/>
  <c r="K1935" i="7"/>
  <c r="K1960" i="7"/>
  <c r="K1968" i="7"/>
  <c r="K1976" i="7"/>
  <c r="K1672" i="7"/>
  <c r="K2026" i="7"/>
  <c r="K2041" i="7"/>
  <c r="K2063" i="7"/>
  <c r="K2071" i="7"/>
  <c r="K2081" i="7"/>
  <c r="K45" i="7"/>
  <c r="K97" i="7"/>
  <c r="K156" i="7"/>
  <c r="K168" i="7"/>
  <c r="K181" i="7"/>
  <c r="K199" i="7"/>
  <c r="K243" i="7"/>
  <c r="K292" i="7"/>
  <c r="K362" i="7"/>
  <c r="K376" i="7"/>
  <c r="A376" i="7" s="1"/>
  <c r="K400" i="7"/>
  <c r="K495" i="7"/>
  <c r="K549" i="7"/>
  <c r="K559" i="7"/>
  <c r="K582" i="7"/>
  <c r="K590" i="7"/>
  <c r="K604" i="7"/>
  <c r="K628" i="7"/>
  <c r="K642" i="7"/>
  <c r="K1358" i="7"/>
  <c r="K754" i="7"/>
  <c r="K766" i="7"/>
  <c r="K774" i="7"/>
  <c r="K788" i="7"/>
  <c r="K825" i="7"/>
  <c r="K887" i="7"/>
  <c r="K917" i="7"/>
  <c r="K1015" i="7"/>
  <c r="K1062" i="7"/>
  <c r="K1144" i="7"/>
  <c r="K1187" i="7"/>
  <c r="K1220" i="7"/>
  <c r="K1228" i="7"/>
  <c r="K1363" i="7"/>
  <c r="K1428" i="7"/>
  <c r="K1444" i="7"/>
  <c r="K1585" i="7"/>
  <c r="K1626" i="7"/>
  <c r="K1658" i="7"/>
  <c r="K1698" i="7"/>
  <c r="K1706" i="7"/>
  <c r="K1730" i="7"/>
  <c r="K1739" i="7"/>
  <c r="A1739" i="7" s="1"/>
  <c r="K1827" i="7"/>
  <c r="K1848" i="7"/>
  <c r="K658" i="7"/>
  <c r="K1961" i="7"/>
  <c r="K1969" i="7"/>
  <c r="K1977" i="7"/>
  <c r="K486" i="7"/>
  <c r="K2018" i="7"/>
  <c r="K2027" i="7"/>
  <c r="K2064" i="7"/>
  <c r="K2072" i="7"/>
  <c r="K2082" i="7"/>
  <c r="K2092" i="7"/>
  <c r="K2106" i="7"/>
  <c r="K2190" i="7"/>
  <c r="K2113" i="7"/>
  <c r="K620" i="7"/>
  <c r="K607" i="7"/>
  <c r="A607" i="7" s="1"/>
  <c r="K46" i="7"/>
  <c r="K98" i="7"/>
  <c r="A98" i="7" s="1"/>
  <c r="K157" i="7"/>
  <c r="K182" i="7"/>
  <c r="K203" i="7"/>
  <c r="K283" i="7"/>
  <c r="K293" i="7"/>
  <c r="K363" i="7"/>
  <c r="K377" i="7"/>
  <c r="K401" i="7"/>
  <c r="A401" i="7" s="1"/>
  <c r="K476" i="7"/>
  <c r="K496" i="7"/>
  <c r="K550" i="7"/>
  <c r="K560" i="7"/>
  <c r="K583" i="7"/>
  <c r="K767" i="7"/>
  <c r="K775" i="7"/>
  <c r="K826" i="7"/>
  <c r="K875" i="7"/>
  <c r="K910" i="7"/>
  <c r="K918" i="7"/>
  <c r="K1016" i="7"/>
  <c r="K1063" i="7"/>
  <c r="K1168" i="7"/>
  <c r="K1221" i="7"/>
  <c r="K1229" i="7"/>
  <c r="K1364" i="7"/>
  <c r="K1429" i="7"/>
  <c r="K1445" i="7"/>
  <c r="K1586" i="7"/>
  <c r="K1605" i="7"/>
  <c r="K1699" i="7"/>
  <c r="K1707" i="7"/>
  <c r="K1731" i="7"/>
  <c r="K1740" i="7"/>
  <c r="K1856" i="7"/>
  <c r="K1893" i="7"/>
  <c r="K1905" i="7"/>
  <c r="K1962" i="7"/>
  <c r="K1970" i="7"/>
  <c r="K1978" i="7"/>
  <c r="K2006" i="7"/>
  <c r="K2020" i="7"/>
  <c r="K2028" i="7"/>
  <c r="K2065" i="7"/>
  <c r="K2073" i="7"/>
  <c r="K2083" i="7"/>
  <c r="K47" i="7"/>
  <c r="K62" i="7"/>
  <c r="K99" i="7"/>
  <c r="A99" i="7" s="1"/>
  <c r="K129" i="7"/>
  <c r="K158" i="7"/>
  <c r="K191" i="7"/>
  <c r="K209" i="7"/>
  <c r="K262" i="7"/>
  <c r="K284" i="7"/>
  <c r="K294" i="7"/>
  <c r="K364" i="7"/>
  <c r="A364" i="7" s="1"/>
  <c r="K447" i="7"/>
  <c r="K462" i="7"/>
  <c r="K551" i="7"/>
  <c r="K584" i="7"/>
  <c r="K632" i="7"/>
  <c r="K768" i="7"/>
  <c r="K776" i="7"/>
  <c r="K795" i="7"/>
  <c r="K876" i="7"/>
  <c r="K889" i="7"/>
  <c r="K911" i="7"/>
  <c r="K1017" i="7"/>
  <c r="K1169" i="7"/>
  <c r="K1189" i="7"/>
  <c r="K1222" i="7"/>
  <c r="K1230" i="7"/>
  <c r="K1365" i="7"/>
  <c r="K1422" i="7"/>
  <c r="K1430" i="7"/>
  <c r="K1446" i="7"/>
  <c r="K1577" i="7"/>
  <c r="K1587" i="7"/>
  <c r="K1628" i="7"/>
  <c r="K198" i="7"/>
  <c r="K1700" i="7"/>
  <c r="K1708" i="7"/>
  <c r="K1732" i="7"/>
  <c r="K1894" i="7"/>
  <c r="K1963" i="7"/>
  <c r="K1971" i="7"/>
  <c r="K1979" i="7"/>
  <c r="K2007" i="7"/>
  <c r="K2021" i="7"/>
  <c r="K2029" i="7"/>
  <c r="K2066" i="7"/>
  <c r="K2084" i="7"/>
  <c r="K2168" i="7"/>
  <c r="K324" i="7"/>
  <c r="K51" i="7"/>
  <c r="K131" i="7"/>
  <c r="K159" i="7"/>
  <c r="K171" i="7"/>
  <c r="A171" i="7" s="1"/>
  <c r="K193" i="7"/>
  <c r="A193" i="7" s="1"/>
  <c r="K214" i="7"/>
  <c r="K264" i="7"/>
  <c r="K287" i="7"/>
  <c r="K380" i="7"/>
  <c r="K448" i="7"/>
  <c r="K470" i="7"/>
  <c r="K542" i="7"/>
  <c r="K552" i="7"/>
  <c r="K573" i="7"/>
  <c r="K585" i="7"/>
  <c r="K595" i="7"/>
  <c r="K1944" i="7"/>
  <c r="K633" i="7"/>
  <c r="K769" i="7"/>
  <c r="K777" i="7"/>
  <c r="K796" i="7"/>
  <c r="K879" i="7"/>
  <c r="A879" i="7" s="1"/>
  <c r="K890" i="7"/>
  <c r="K912" i="7"/>
  <c r="K931" i="7"/>
  <c r="K996" i="7"/>
  <c r="K1018" i="7"/>
  <c r="K1215" i="7"/>
  <c r="K1223" i="7"/>
  <c r="K1231" i="7"/>
  <c r="K1366" i="7"/>
  <c r="K1431" i="7"/>
  <c r="K1761" i="7"/>
  <c r="K1554" i="7"/>
  <c r="K1578" i="7"/>
  <c r="K1588" i="7"/>
  <c r="K1608" i="7"/>
  <c r="K1701" i="7"/>
  <c r="K1709" i="7"/>
  <c r="K2022" i="7"/>
  <c r="K2030" i="7"/>
  <c r="K2085" i="7"/>
  <c r="K2150" i="7"/>
  <c r="K1940" i="7"/>
  <c r="K2001" i="7"/>
  <c r="K1892" i="7"/>
  <c r="K1897" i="7"/>
  <c r="K1930" i="7"/>
  <c r="K1964" i="7"/>
  <c r="K2008" i="7"/>
  <c r="K2059" i="7"/>
  <c r="K1972" i="7"/>
  <c r="K2067" i="7"/>
  <c r="K1980" i="7"/>
  <c r="K2175" i="7"/>
  <c r="K1826" i="7"/>
  <c r="K77" i="7"/>
  <c r="L77" i="7" s="1"/>
  <c r="K371" i="7"/>
  <c r="L371" i="7" s="1"/>
  <c r="K575" i="7"/>
  <c r="L575" i="7" s="1"/>
  <c r="K78" i="7"/>
  <c r="K79" i="7"/>
  <c r="L79" i="7" s="1"/>
  <c r="K375" i="7"/>
  <c r="L375" i="7" s="1"/>
  <c r="K150" i="7"/>
  <c r="L150" i="7" s="1"/>
  <c r="K578" i="7"/>
  <c r="L578" i="7" s="1"/>
  <c r="K652" i="7"/>
  <c r="L652" i="7" s="1"/>
  <c r="K1579" i="7"/>
  <c r="L1579" i="7" s="1"/>
  <c r="K2155" i="7"/>
  <c r="L2155" i="7" s="1"/>
  <c r="K416" i="7"/>
  <c r="L416" i="7" s="1"/>
  <c r="K868" i="7"/>
  <c r="L868" i="7" s="1"/>
  <c r="K1252" i="7"/>
  <c r="K1795" i="7"/>
  <c r="L1795" i="7" s="1"/>
  <c r="K2156" i="7"/>
  <c r="L2156" i="7" s="1"/>
  <c r="K853" i="7"/>
  <c r="K1796" i="7"/>
  <c r="L1796" i="7" s="1"/>
  <c r="K2117" i="7"/>
  <c r="L2117" i="7" s="1"/>
  <c r="K854" i="7"/>
  <c r="K1118" i="7"/>
  <c r="L1118" i="7" s="1"/>
  <c r="K1119" i="7"/>
  <c r="L1119" i="7" s="1"/>
  <c r="K1559" i="7"/>
  <c r="L1559" i="7" s="1"/>
  <c r="K1889" i="7"/>
  <c r="L1889" i="7" s="1"/>
  <c r="K370" i="7"/>
  <c r="L370" i="7" s="1"/>
  <c r="K1000" i="7"/>
  <c r="L1000" i="7" s="1"/>
  <c r="K1560" i="7"/>
  <c r="L1560" i="7" s="1"/>
  <c r="K1649" i="7"/>
  <c r="L1649" i="7" s="1"/>
  <c r="K1815" i="7"/>
  <c r="L1815" i="7" s="1"/>
  <c r="K576" i="7"/>
  <c r="L576" i="7" s="1"/>
  <c r="K1001" i="7"/>
  <c r="L1001" i="7" s="1"/>
  <c r="K513" i="7"/>
  <c r="L513" i="7" s="1"/>
  <c r="K70" i="7"/>
  <c r="L70" i="7" s="1"/>
  <c r="K349" i="7"/>
  <c r="L349" i="7" s="1"/>
  <c r="K71" i="7"/>
  <c r="L71" i="7" s="1"/>
  <c r="K72" i="7"/>
  <c r="L72" i="7" s="1"/>
  <c r="K80" i="7"/>
  <c r="L80" i="7" s="1"/>
  <c r="K73" i="7"/>
  <c r="L73" i="7" s="1"/>
  <c r="K81" i="7"/>
  <c r="L81" i="7" s="1"/>
  <c r="K74" i="7"/>
  <c r="K353" i="7"/>
  <c r="K510" i="7"/>
  <c r="L510" i="7" s="1"/>
  <c r="K75" i="7"/>
  <c r="L75" i="7" s="1"/>
  <c r="K851" i="7"/>
  <c r="L851" i="7" s="1"/>
  <c r="K1794" i="7"/>
  <c r="L1794" i="7" s="1"/>
  <c r="K1810" i="7"/>
  <c r="L1810" i="7" s="1"/>
  <c r="K1164" i="7"/>
  <c r="L1164" i="7" s="1"/>
  <c r="K2124" i="7"/>
  <c r="K2148" i="7"/>
  <c r="L2148" i="7" s="1"/>
  <c r="K1165" i="7"/>
  <c r="L1165" i="7" s="1"/>
  <c r="K1549" i="7"/>
  <c r="L1549" i="7" s="1"/>
  <c r="K420" i="7"/>
  <c r="K1550" i="7"/>
  <c r="K1167" i="7"/>
  <c r="L1167" i="7" s="1"/>
  <c r="K1551" i="7"/>
  <c r="L1551" i="7" s="1"/>
  <c r="K2135" i="7"/>
  <c r="L2135" i="7" s="1"/>
  <c r="K512" i="7"/>
  <c r="L512" i="7" s="1"/>
  <c r="K1568" i="7"/>
  <c r="L1568" i="7" s="1"/>
  <c r="K865" i="7"/>
  <c r="L865" i="7" s="1"/>
  <c r="K1784" i="7"/>
  <c r="L1784" i="7" s="1"/>
  <c r="K1606" i="7"/>
  <c r="L1606" i="7" s="1"/>
  <c r="K145" i="7"/>
  <c r="K403" i="7"/>
  <c r="L403" i="7" s="1"/>
  <c r="K409" i="7"/>
  <c r="L409" i="7" s="1"/>
  <c r="K132" i="7"/>
  <c r="L132" i="7" s="1"/>
  <c r="K133" i="7"/>
  <c r="L133" i="7" s="1"/>
  <c r="K411" i="7"/>
  <c r="L411" i="7" s="1"/>
  <c r="K608" i="7"/>
  <c r="L608" i="7" s="1"/>
  <c r="K621" i="7"/>
  <c r="L621" i="7" s="1"/>
  <c r="K399" i="7"/>
  <c r="K413" i="7"/>
  <c r="K623" i="7"/>
  <c r="L623" i="7" s="1"/>
  <c r="K142" i="7"/>
  <c r="K611" i="7"/>
  <c r="L611" i="7" s="1"/>
  <c r="K617" i="7"/>
  <c r="L617" i="7" s="1"/>
  <c r="K407" i="7"/>
  <c r="L407" i="7" s="1"/>
  <c r="K1235" i="7"/>
  <c r="L1235" i="7" s="1"/>
  <c r="K2180" i="7"/>
  <c r="L2180" i="7" s="1"/>
  <c r="K402" i="7"/>
  <c r="L402" i="7" s="1"/>
  <c r="K619" i="7"/>
  <c r="L619" i="7" s="1"/>
  <c r="K1326" i="7"/>
  <c r="K2181" i="7"/>
  <c r="K893" i="7"/>
  <c r="L893" i="7" s="1"/>
  <c r="K901" i="7"/>
  <c r="K1880" i="7"/>
  <c r="L1880" i="7" s="1"/>
  <c r="K2182" i="7"/>
  <c r="K894" i="7"/>
  <c r="L894" i="7" s="1"/>
  <c r="K902" i="7"/>
  <c r="L902" i="7" s="1"/>
  <c r="K1214" i="7"/>
  <c r="L1214" i="7" s="1"/>
  <c r="K2183" i="7"/>
  <c r="L2183" i="7" s="1"/>
  <c r="K408" i="7"/>
  <c r="L408" i="7" s="1"/>
  <c r="K622" i="7"/>
  <c r="L622" i="7" s="1"/>
  <c r="K895" i="7"/>
  <c r="L895" i="7" s="1"/>
  <c r="K1191" i="7"/>
  <c r="K2184" i="7"/>
  <c r="L2184" i="7" s="1"/>
  <c r="K896" i="7"/>
  <c r="L896" i="7" s="1"/>
  <c r="K904" i="7"/>
  <c r="L904" i="7" s="1"/>
  <c r="K412" i="7"/>
  <c r="L412" i="7" s="1"/>
  <c r="K615" i="7"/>
  <c r="L615" i="7" s="1"/>
  <c r="K625" i="7"/>
  <c r="L625" i="7" s="1"/>
  <c r="K897" i="7"/>
  <c r="L897" i="7" s="1"/>
  <c r="K1233" i="7"/>
  <c r="L1233" i="7" s="1"/>
  <c r="K1623" i="7"/>
  <c r="L1623" i="7" s="1"/>
  <c r="K2178" i="7"/>
  <c r="K1234" i="7"/>
  <c r="L1234" i="7" s="1"/>
  <c r="K1170" i="7"/>
  <c r="K2179" i="7"/>
  <c r="K379" i="7"/>
  <c r="L379" i="7" s="1"/>
  <c r="K594" i="7"/>
  <c r="L594" i="7" s="1"/>
  <c r="K1099" i="7"/>
  <c r="L1099" i="7" s="1"/>
  <c r="K1361" i="7"/>
  <c r="L1361" i="7" s="1"/>
  <c r="K1955" i="7"/>
  <c r="L1955" i="7" s="1"/>
  <c r="K396" i="7"/>
  <c r="L396" i="7" s="1"/>
  <c r="K1010" i="7"/>
  <c r="L1010" i="7" s="1"/>
  <c r="K1693" i="7"/>
  <c r="L1693" i="7" s="1"/>
  <c r="K491" i="7"/>
  <c r="L491" i="7" s="1"/>
  <c r="K40" i="7"/>
  <c r="K85" i="7"/>
  <c r="L85" i="7" s="1"/>
  <c r="K86" i="7"/>
  <c r="K87" i="7"/>
  <c r="K547" i="7"/>
  <c r="L547" i="7" s="1"/>
  <c r="K88" i="7"/>
  <c r="L88" i="7" s="1"/>
  <c r="K89" i="7"/>
  <c r="L89" i="7" s="1"/>
  <c r="K251" i="7"/>
  <c r="L251" i="7" s="1"/>
  <c r="K517" i="7"/>
  <c r="L517" i="7" s="1"/>
  <c r="K533" i="7"/>
  <c r="L533" i="7" s="1"/>
  <c r="K252" i="7"/>
  <c r="L252" i="7" s="1"/>
  <c r="K321" i="7"/>
  <c r="L321" i="7" s="1"/>
  <c r="K345" i="7"/>
  <c r="L345" i="7" s="1"/>
  <c r="K534" i="7"/>
  <c r="L534" i="7" s="1"/>
  <c r="K322" i="7"/>
  <c r="L322" i="7" s="1"/>
  <c r="K338" i="7"/>
  <c r="K346" i="7"/>
  <c r="L346" i="7" s="1"/>
  <c r="K519" i="7"/>
  <c r="L519" i="7" s="1"/>
  <c r="K516" i="7"/>
  <c r="L516" i="7" s="1"/>
  <c r="K819" i="7"/>
  <c r="K859" i="7"/>
  <c r="L859" i="7" s="1"/>
  <c r="K1123" i="7"/>
  <c r="L1123" i="7" s="1"/>
  <c r="K1171" i="7"/>
  <c r="K520" i="7"/>
  <c r="L520" i="7" s="1"/>
  <c r="K546" i="7"/>
  <c r="L546" i="7" s="1"/>
  <c r="K828" i="7"/>
  <c r="L828" i="7" s="1"/>
  <c r="K1116" i="7"/>
  <c r="L1116" i="7" s="1"/>
  <c r="K1172" i="7"/>
  <c r="L1172" i="7" s="1"/>
  <c r="K1473" i="7"/>
  <c r="L1473" i="7" s="1"/>
  <c r="K1532" i="7"/>
  <c r="L1532" i="7" s="1"/>
  <c r="K1779" i="7"/>
  <c r="L1779" i="7" s="1"/>
  <c r="K1803" i="7"/>
  <c r="L1803" i="7" s="1"/>
  <c r="K2140" i="7"/>
  <c r="K829" i="7"/>
  <c r="L829" i="7" s="1"/>
  <c r="K845" i="7"/>
  <c r="K1109" i="7"/>
  <c r="L1109" i="7" s="1"/>
  <c r="K1117" i="7"/>
  <c r="L1117" i="7" s="1"/>
  <c r="K1474" i="7"/>
  <c r="L1474" i="7" s="1"/>
  <c r="K1533" i="7"/>
  <c r="L1533" i="7" s="1"/>
  <c r="K1788" i="7"/>
  <c r="K1804" i="7"/>
  <c r="K2141" i="7"/>
  <c r="L2141" i="7" s="1"/>
  <c r="K846" i="7"/>
  <c r="L846" i="7" s="1"/>
  <c r="K1475" i="7"/>
  <c r="L1475" i="7" s="1"/>
  <c r="K1677" i="7"/>
  <c r="L1677" i="7" s="1"/>
  <c r="K1789" i="7"/>
  <c r="L1789" i="7" s="1"/>
  <c r="K2098" i="7"/>
  <c r="L2098" i="7" s="1"/>
  <c r="K2142" i="7"/>
  <c r="L2142" i="7" s="1"/>
  <c r="K508" i="7"/>
  <c r="L508" i="7" s="1"/>
  <c r="K1095" i="7"/>
  <c r="L1095" i="7" s="1"/>
  <c r="K1543" i="7"/>
  <c r="L1543" i="7" s="1"/>
  <c r="K1678" i="7"/>
  <c r="L1678" i="7" s="1"/>
  <c r="K1755" i="7"/>
  <c r="L1755" i="7" s="1"/>
  <c r="K2099" i="7"/>
  <c r="L2099" i="7" s="1"/>
  <c r="K39" i="7"/>
  <c r="K1096" i="7"/>
  <c r="L1096" i="7" s="1"/>
  <c r="K1485" i="7"/>
  <c r="L1485" i="7" s="1"/>
  <c r="K1544" i="7"/>
  <c r="L1544" i="7" s="1"/>
  <c r="K1756" i="7"/>
  <c r="L1756" i="7" s="1"/>
  <c r="K2044" i="7"/>
  <c r="L2044" i="7" s="1"/>
  <c r="K2120" i="7"/>
  <c r="L2120" i="7" s="1"/>
  <c r="K841" i="7"/>
  <c r="K857" i="7"/>
  <c r="L857" i="7" s="1"/>
  <c r="K1486" i="7"/>
  <c r="L1486" i="7" s="1"/>
  <c r="K1545" i="7"/>
  <c r="L1545" i="7" s="1"/>
  <c r="K1569" i="7"/>
  <c r="L1569" i="7" s="1"/>
  <c r="K2045" i="7"/>
  <c r="K2129" i="7"/>
  <c r="L2129" i="7" s="1"/>
  <c r="K1570" i="7"/>
  <c r="L1570" i="7" s="1"/>
  <c r="K1122" i="7"/>
  <c r="L1122" i="7" s="1"/>
  <c r="K1741" i="7"/>
  <c r="L1741" i="7" s="1"/>
  <c r="K818" i="7"/>
  <c r="K2130" i="7"/>
  <c r="L2130" i="7" s="1"/>
  <c r="K277" i="7"/>
  <c r="L277" i="7" s="1"/>
  <c r="K459" i="7"/>
  <c r="L459" i="7" s="1"/>
  <c r="K995" i="7"/>
  <c r="L995" i="7" s="1"/>
  <c r="K1949" i="7"/>
  <c r="L1949" i="7" s="1"/>
  <c r="K386" i="7"/>
  <c r="L386" i="7" s="1"/>
  <c r="K1928" i="7"/>
  <c r="L1928" i="7" s="1"/>
  <c r="A32" i="7"/>
  <c r="K490" i="7"/>
  <c r="L490" i="7" s="1"/>
  <c r="K41" i="7"/>
  <c r="K494" i="7"/>
  <c r="L494" i="7" s="1"/>
  <c r="K228" i="7"/>
  <c r="K867" i="7"/>
  <c r="K1067" i="7"/>
  <c r="L1067" i="7" s="1"/>
  <c r="K1083" i="7"/>
  <c r="L1083" i="7" s="1"/>
  <c r="K1751" i="7"/>
  <c r="L1751" i="7" s="1"/>
  <c r="K1434" i="7"/>
  <c r="L1434" i="7" s="1"/>
  <c r="K1727" i="7"/>
  <c r="L1727" i="7" s="1"/>
  <c r="K2017" i="7"/>
  <c r="L2017" i="7" s="1"/>
  <c r="K1459" i="7"/>
  <c r="L1459" i="7" s="1"/>
  <c r="K316" i="7"/>
  <c r="L316" i="7" s="1"/>
  <c r="K809" i="7"/>
  <c r="L809" i="7" s="1"/>
  <c r="K273" i="7"/>
  <c r="L273" i="7" s="1"/>
  <c r="K383" i="7"/>
  <c r="L383" i="7" s="1"/>
  <c r="K1140" i="7"/>
  <c r="L1140" i="7" s="1"/>
  <c r="K837" i="7"/>
  <c r="K751" i="7"/>
  <c r="L751" i="7" s="1"/>
  <c r="K1526" i="7"/>
  <c r="K2108" i="7"/>
  <c r="L2108" i="7" s="1"/>
  <c r="K382" i="7"/>
  <c r="L382" i="7" s="1"/>
  <c r="K1765" i="7"/>
  <c r="L1765" i="7" s="1"/>
  <c r="K278" i="7"/>
  <c r="K279" i="7"/>
  <c r="K311" i="7"/>
  <c r="L311" i="7" s="1"/>
  <c r="K434" i="7"/>
  <c r="K436" i="7"/>
  <c r="K1059" i="7"/>
  <c r="L1059" i="7" s="1"/>
  <c r="K1251" i="7"/>
  <c r="L1251" i="7" s="1"/>
  <c r="K431" i="7"/>
  <c r="K522" i="7"/>
  <c r="L522" i="7" s="1"/>
  <c r="K1837" i="7"/>
  <c r="L1837" i="7" s="1"/>
  <c r="K435" i="7"/>
  <c r="L435" i="7" s="1"/>
  <c r="K1722" i="7"/>
  <c r="L1722" i="7" s="1"/>
  <c r="K649" i="7"/>
  <c r="L649" i="7" s="1"/>
  <c r="K388" i="7"/>
  <c r="L388" i="7" s="1"/>
  <c r="K1479" i="7"/>
  <c r="K994" i="7"/>
  <c r="L994" i="7" s="1"/>
  <c r="K275" i="7"/>
  <c r="A69" i="7"/>
  <c r="K48" i="7"/>
  <c r="K185" i="7"/>
  <c r="K269" i="7"/>
  <c r="K301" i="7"/>
  <c r="L301" i="7" s="1"/>
  <c r="K446" i="7"/>
  <c r="L446" i="7" s="1"/>
  <c r="K568" i="7"/>
  <c r="L568" i="7" s="1"/>
  <c r="K25" i="7"/>
  <c r="K49" i="7"/>
  <c r="L49" i="7" s="1"/>
  <c r="K186" i="7"/>
  <c r="L186" i="7" s="1"/>
  <c r="K217" i="7"/>
  <c r="K302" i="7"/>
  <c r="L302" i="7" s="1"/>
  <c r="K333" i="7"/>
  <c r="K20" i="7"/>
  <c r="K50" i="7"/>
  <c r="K63" i="7"/>
  <c r="K103" i="7"/>
  <c r="L103" i="7" s="1"/>
  <c r="K140" i="7"/>
  <c r="L140" i="7" s="1"/>
  <c r="K187" i="7"/>
  <c r="L187" i="7" s="1"/>
  <c r="K218" i="7"/>
  <c r="L218" i="7" s="1"/>
  <c r="K303" i="7"/>
  <c r="L303" i="7" s="1"/>
  <c r="K419" i="7"/>
  <c r="L419" i="7" s="1"/>
  <c r="K456" i="7"/>
  <c r="L456" i="7" s="1"/>
  <c r="K562" i="7"/>
  <c r="L562" i="7" s="1"/>
  <c r="K570" i="7"/>
  <c r="L570" i="7" s="1"/>
  <c r="K616" i="7"/>
  <c r="L616" i="7" s="1"/>
  <c r="K21" i="7"/>
  <c r="L21" i="7" s="1"/>
  <c r="K35" i="7"/>
  <c r="K141" i="7"/>
  <c r="L141" i="7" s="1"/>
  <c r="K219" i="7"/>
  <c r="K304" i="7"/>
  <c r="L304" i="7" s="1"/>
  <c r="K165" i="7"/>
  <c r="L165" i="7" s="1"/>
  <c r="K204" i="7"/>
  <c r="K305" i="7"/>
  <c r="L305" i="7" s="1"/>
  <c r="K367" i="7"/>
  <c r="K501" i="7"/>
  <c r="L501" i="7" s="1"/>
  <c r="K564" i="7"/>
  <c r="L564" i="7" s="1"/>
  <c r="K572" i="7"/>
  <c r="L572" i="7" s="1"/>
  <c r="K610" i="7"/>
  <c r="L610" i="7" s="1"/>
  <c r="K166" i="7"/>
  <c r="L166" i="7" s="1"/>
  <c r="K205" i="7"/>
  <c r="K468" i="7"/>
  <c r="K474" i="7"/>
  <c r="K565" i="7"/>
  <c r="L565" i="7" s="1"/>
  <c r="K105" i="7"/>
  <c r="L105" i="7" s="1"/>
  <c r="K183" i="7"/>
  <c r="L183" i="7" s="1"/>
  <c r="K206" i="7"/>
  <c r="K438" i="7"/>
  <c r="L438" i="7" s="1"/>
  <c r="K469" i="7"/>
  <c r="K566" i="7"/>
  <c r="L566" i="7" s="1"/>
  <c r="K563" i="7"/>
  <c r="L563" i="7" s="1"/>
  <c r="K731" i="7"/>
  <c r="L731" i="7" s="1"/>
  <c r="K963" i="7"/>
  <c r="L963" i="7" s="1"/>
  <c r="K987" i="7"/>
  <c r="L987" i="7" s="1"/>
  <c r="K1027" i="7"/>
  <c r="L1027" i="7" s="1"/>
  <c r="K1035" i="7"/>
  <c r="L1035" i="7" s="1"/>
  <c r="K1043" i="7"/>
  <c r="L1043" i="7" s="1"/>
  <c r="K1051" i="7"/>
  <c r="L1051" i="7" s="1"/>
  <c r="K1139" i="7"/>
  <c r="L1139" i="7" s="1"/>
  <c r="K1147" i="7"/>
  <c r="L1147" i="7" s="1"/>
  <c r="K1155" i="7"/>
  <c r="L1155" i="7" s="1"/>
  <c r="K1179" i="7"/>
  <c r="L1179" i="7" s="1"/>
  <c r="K1195" i="7"/>
  <c r="L1195" i="7" s="1"/>
  <c r="K1203" i="7"/>
  <c r="L1203" i="7" s="1"/>
  <c r="K1211" i="7"/>
  <c r="L1211" i="7" s="1"/>
  <c r="K1293" i="7"/>
  <c r="K1301" i="7"/>
  <c r="L1301" i="7" s="1"/>
  <c r="K1349" i="7"/>
  <c r="L1349" i="7" s="1"/>
  <c r="K1369" i="7"/>
  <c r="L1369" i="7" s="1"/>
  <c r="K1377" i="7"/>
  <c r="K1385" i="7"/>
  <c r="L1385" i="7" s="1"/>
  <c r="K1393" i="7"/>
  <c r="L1393" i="7" s="1"/>
  <c r="K1401" i="7"/>
  <c r="L1401" i="7" s="1"/>
  <c r="K1464" i="7"/>
  <c r="L1464" i="7" s="1"/>
  <c r="K1490" i="7"/>
  <c r="L1490" i="7" s="1"/>
  <c r="K1615" i="7"/>
  <c r="L1615" i="7" s="1"/>
  <c r="K1984" i="7"/>
  <c r="L1984" i="7" s="1"/>
  <c r="K567" i="7"/>
  <c r="L567" i="7" s="1"/>
  <c r="K596" i="7"/>
  <c r="L596" i="7" s="1"/>
  <c r="K732" i="7"/>
  <c r="L732" i="7" s="1"/>
  <c r="K836" i="7"/>
  <c r="K884" i="7"/>
  <c r="K964" i="7"/>
  <c r="L964" i="7" s="1"/>
  <c r="K988" i="7"/>
  <c r="L988" i="7" s="1"/>
  <c r="K1028" i="7"/>
  <c r="L1028" i="7" s="1"/>
  <c r="K1036" i="7"/>
  <c r="L1036" i="7" s="1"/>
  <c r="K1044" i="7"/>
  <c r="L1044" i="7" s="1"/>
  <c r="K1052" i="7"/>
  <c r="L1052" i="7" s="1"/>
  <c r="K1100" i="7"/>
  <c r="L1100" i="7" s="1"/>
  <c r="K1148" i="7"/>
  <c r="L1148" i="7" s="1"/>
  <c r="K1156" i="7"/>
  <c r="L1156" i="7" s="1"/>
  <c r="K1180" i="7"/>
  <c r="L1180" i="7" s="1"/>
  <c r="K1196" i="7"/>
  <c r="L1196" i="7" s="1"/>
  <c r="K1204" i="7"/>
  <c r="L1204" i="7" s="1"/>
  <c r="K1212" i="7"/>
  <c r="L1212" i="7" s="1"/>
  <c r="K1236" i="7"/>
  <c r="L1236" i="7" s="1"/>
  <c r="K1286" i="7"/>
  <c r="L1286" i="7" s="1"/>
  <c r="K1294" i="7"/>
  <c r="L1294" i="7" s="1"/>
  <c r="K1302" i="7"/>
  <c r="L1302" i="7" s="1"/>
  <c r="K1350" i="7"/>
  <c r="L1350" i="7" s="1"/>
  <c r="K1370" i="7"/>
  <c r="L1370" i="7" s="1"/>
  <c r="K1378" i="7"/>
  <c r="L1378" i="7" s="1"/>
  <c r="K1386" i="7"/>
  <c r="L1386" i="7" s="1"/>
  <c r="K1394" i="7"/>
  <c r="L1394" i="7" s="1"/>
  <c r="K1402" i="7"/>
  <c r="L1402" i="7" s="1"/>
  <c r="K1465" i="7"/>
  <c r="L1465" i="7" s="1"/>
  <c r="K1491" i="7"/>
  <c r="L1491" i="7" s="1"/>
  <c r="K1637" i="7"/>
  <c r="L1637" i="7" s="1"/>
  <c r="K404" i="7"/>
  <c r="L404" i="7" s="1"/>
  <c r="K569" i="7"/>
  <c r="L569" i="7" s="1"/>
  <c r="K609" i="7"/>
  <c r="L609" i="7" s="1"/>
  <c r="K733" i="7"/>
  <c r="L733" i="7" s="1"/>
  <c r="K965" i="7"/>
  <c r="K989" i="7"/>
  <c r="L989" i="7" s="1"/>
  <c r="K1021" i="7"/>
  <c r="L1021" i="7" s="1"/>
  <c r="K1029" i="7"/>
  <c r="L1029" i="7" s="1"/>
  <c r="K1037" i="7"/>
  <c r="L1037" i="7" s="1"/>
  <c r="K1045" i="7"/>
  <c r="L1045" i="7" s="1"/>
  <c r="K1053" i="7"/>
  <c r="L1053" i="7" s="1"/>
  <c r="K1085" i="7"/>
  <c r="L1085" i="7" s="1"/>
  <c r="K1101" i="7"/>
  <c r="L1101" i="7" s="1"/>
  <c r="K1149" i="7"/>
  <c r="L1149" i="7" s="1"/>
  <c r="K1157" i="7"/>
  <c r="L1157" i="7" s="1"/>
  <c r="K1197" i="7"/>
  <c r="L1197" i="7" s="1"/>
  <c r="K1205" i="7"/>
  <c r="L1205" i="7" s="1"/>
  <c r="K1213" i="7"/>
  <c r="L1213" i="7" s="1"/>
  <c r="K1287" i="7"/>
  <c r="K1295" i="7"/>
  <c r="K1303" i="7"/>
  <c r="L1303" i="7" s="1"/>
  <c r="K1371" i="7"/>
  <c r="L1371" i="7" s="1"/>
  <c r="K1379" i="7"/>
  <c r="L1379" i="7" s="1"/>
  <c r="K1387" i="7"/>
  <c r="L1387" i="7" s="1"/>
  <c r="K1395" i="7"/>
  <c r="L1395" i="7" s="1"/>
  <c r="K1403" i="7"/>
  <c r="K1466" i="7"/>
  <c r="L1466" i="7" s="1"/>
  <c r="K1492" i="7"/>
  <c r="L1492" i="7" s="1"/>
  <c r="K1662" i="7"/>
  <c r="L1662" i="7" s="1"/>
  <c r="K1828" i="7"/>
  <c r="K1921" i="7"/>
  <c r="L1921" i="7" s="1"/>
  <c r="K2097" i="7"/>
  <c r="K2107" i="7"/>
  <c r="L2107" i="7" s="1"/>
  <c r="K2166" i="7"/>
  <c r="L2166" i="7" s="1"/>
  <c r="K130" i="7"/>
  <c r="L130" i="7" s="1"/>
  <c r="K662" i="7"/>
  <c r="L662" i="7" s="1"/>
  <c r="K734" i="7"/>
  <c r="L734" i="7" s="1"/>
  <c r="K974" i="7"/>
  <c r="L974" i="7" s="1"/>
  <c r="K982" i="7"/>
  <c r="L982" i="7" s="1"/>
  <c r="K1022" i="7"/>
  <c r="L1022" i="7" s="1"/>
  <c r="K1030" i="7"/>
  <c r="L1030" i="7" s="1"/>
  <c r="K1038" i="7"/>
  <c r="L1038" i="7" s="1"/>
  <c r="K1046" i="7"/>
  <c r="L1046" i="7" s="1"/>
  <c r="K1054" i="7"/>
  <c r="L1054" i="7" s="1"/>
  <c r="K1086" i="7"/>
  <c r="L1086" i="7" s="1"/>
  <c r="K1102" i="7"/>
  <c r="L1102" i="7" s="1"/>
  <c r="K1134" i="7"/>
  <c r="L1134" i="7" s="1"/>
  <c r="K1150" i="7"/>
  <c r="L1150" i="7" s="1"/>
  <c r="K1190" i="7"/>
  <c r="L1190" i="7" s="1"/>
  <c r="K1198" i="7"/>
  <c r="L1198" i="7" s="1"/>
  <c r="K1206" i="7"/>
  <c r="L1206" i="7" s="1"/>
  <c r="K1238" i="7"/>
  <c r="L1238" i="7" s="1"/>
  <c r="K1288" i="7"/>
  <c r="K1296" i="7"/>
  <c r="L1296" i="7" s="1"/>
  <c r="K1304" i="7"/>
  <c r="L1304" i="7" s="1"/>
  <c r="K1372" i="7"/>
  <c r="L1372" i="7" s="1"/>
  <c r="K1380" i="7"/>
  <c r="L1380" i="7" s="1"/>
  <c r="K1388" i="7"/>
  <c r="L1388" i="7" s="1"/>
  <c r="K1396" i="7"/>
  <c r="K1404" i="7"/>
  <c r="L1404" i="7" s="1"/>
  <c r="K1451" i="7"/>
  <c r="L1451" i="7" s="1"/>
  <c r="K1467" i="7"/>
  <c r="L1467" i="7" s="1"/>
  <c r="K1493" i="7"/>
  <c r="L1493" i="7" s="1"/>
  <c r="K1838" i="7"/>
  <c r="L1838" i="7" s="1"/>
  <c r="K2034" i="7"/>
  <c r="L2034" i="7" s="1"/>
  <c r="K735" i="7"/>
  <c r="L735" i="7" s="1"/>
  <c r="K983" i="7"/>
  <c r="L983" i="7" s="1"/>
  <c r="K1023" i="7"/>
  <c r="L1023" i="7" s="1"/>
  <c r="K1031" i="7"/>
  <c r="L1031" i="7" s="1"/>
  <c r="K1039" i="7"/>
  <c r="L1039" i="7" s="1"/>
  <c r="K1047" i="7"/>
  <c r="L1047" i="7" s="1"/>
  <c r="K1055" i="7"/>
  <c r="L1055" i="7" s="1"/>
  <c r="K1103" i="7"/>
  <c r="L1103" i="7" s="1"/>
  <c r="K1151" i="7"/>
  <c r="L1151" i="7" s="1"/>
  <c r="K1199" i="7"/>
  <c r="L1199" i="7" s="1"/>
  <c r="K1207" i="7"/>
  <c r="L1207" i="7" s="1"/>
  <c r="K1239" i="7"/>
  <c r="L1239" i="7" s="1"/>
  <c r="K1256" i="7"/>
  <c r="L1256" i="7" s="1"/>
  <c r="K1289" i="7"/>
  <c r="L1289" i="7" s="1"/>
  <c r="K1297" i="7"/>
  <c r="L1297" i="7" s="1"/>
  <c r="K1305" i="7"/>
  <c r="L1305" i="7" s="1"/>
  <c r="K1337" i="7"/>
  <c r="L1337" i="7" s="1"/>
  <c r="K1373" i="7"/>
  <c r="K1381" i="7"/>
  <c r="L1381" i="7" s="1"/>
  <c r="K1389" i="7"/>
  <c r="L1389" i="7" s="1"/>
  <c r="K1397" i="7"/>
  <c r="L1397" i="7" s="1"/>
  <c r="K1405" i="7"/>
  <c r="L1405" i="7" s="1"/>
  <c r="K1452" i="7"/>
  <c r="L1452" i="7" s="1"/>
  <c r="K1468" i="7"/>
  <c r="L1468" i="7" s="1"/>
  <c r="K1500" i="7"/>
  <c r="L1500" i="7" s="1"/>
  <c r="K1617" i="7"/>
  <c r="L1617" i="7" s="1"/>
  <c r="K1835" i="7"/>
  <c r="L1835" i="7" s="1"/>
  <c r="K184" i="7"/>
  <c r="L184" i="7" s="1"/>
  <c r="K230" i="7"/>
  <c r="L230" i="7" s="1"/>
  <c r="K960" i="7"/>
  <c r="L960" i="7" s="1"/>
  <c r="K984" i="7"/>
  <c r="L984" i="7" s="1"/>
  <c r="K1024" i="7"/>
  <c r="L1024" i="7" s="1"/>
  <c r="K1032" i="7"/>
  <c r="L1032" i="7" s="1"/>
  <c r="K1040" i="7"/>
  <c r="L1040" i="7" s="1"/>
  <c r="K1048" i="7"/>
  <c r="L1048" i="7" s="1"/>
  <c r="K1104" i="7"/>
  <c r="L1104" i="7" s="1"/>
  <c r="K1152" i="7"/>
  <c r="L1152" i="7" s="1"/>
  <c r="K1200" i="7"/>
  <c r="L1200" i="7" s="1"/>
  <c r="K1208" i="7"/>
  <c r="L1208" i="7" s="1"/>
  <c r="K1240" i="7"/>
  <c r="L1240" i="7" s="1"/>
  <c r="K1248" i="7"/>
  <c r="L1248" i="7" s="1"/>
  <c r="K1290" i="7"/>
  <c r="L1290" i="7" s="1"/>
  <c r="K1298" i="7"/>
  <c r="L1298" i="7" s="1"/>
  <c r="K1306" i="7"/>
  <c r="L1306" i="7" s="1"/>
  <c r="K1374" i="7"/>
  <c r="K1382" i="7"/>
  <c r="L1382" i="7" s="1"/>
  <c r="K1390" i="7"/>
  <c r="L1390" i="7" s="1"/>
  <c r="K1398" i="7"/>
  <c r="L1398" i="7" s="1"/>
  <c r="K1406" i="7"/>
  <c r="L1406" i="7" s="1"/>
  <c r="K1453" i="7"/>
  <c r="K1618" i="7"/>
  <c r="L1618" i="7" s="1"/>
  <c r="K1924" i="7"/>
  <c r="L1924" i="7" s="1"/>
  <c r="K729" i="7"/>
  <c r="L729" i="7" s="1"/>
  <c r="K961" i="7"/>
  <c r="L961" i="7" s="1"/>
  <c r="K985" i="7"/>
  <c r="L985" i="7" s="1"/>
  <c r="K1025" i="7"/>
  <c r="L1025" i="7" s="1"/>
  <c r="K1033" i="7"/>
  <c r="L1033" i="7" s="1"/>
  <c r="K1041" i="7"/>
  <c r="L1041" i="7" s="1"/>
  <c r="K1049" i="7"/>
  <c r="L1049" i="7" s="1"/>
  <c r="K1105" i="7"/>
  <c r="K1153" i="7"/>
  <c r="L1153" i="7" s="1"/>
  <c r="K1201" i="7"/>
  <c r="L1201" i="7" s="1"/>
  <c r="K1209" i="7"/>
  <c r="K1249" i="7"/>
  <c r="L1249" i="7" s="1"/>
  <c r="K1291" i="7"/>
  <c r="L1291" i="7" s="1"/>
  <c r="K1299" i="7"/>
  <c r="L1299" i="7" s="1"/>
  <c r="K1307" i="7"/>
  <c r="L1307" i="7" s="1"/>
  <c r="K1347" i="7"/>
  <c r="L1347" i="7" s="1"/>
  <c r="K1375" i="7"/>
  <c r="K1383" i="7"/>
  <c r="L1383" i="7" s="1"/>
  <c r="K1391" i="7"/>
  <c r="K1399" i="7"/>
  <c r="L1399" i="7" s="1"/>
  <c r="K1407" i="7"/>
  <c r="L1407" i="7" s="1"/>
  <c r="K1454" i="7"/>
  <c r="L1454" i="7" s="1"/>
  <c r="K1462" i="7"/>
  <c r="K1899" i="7"/>
  <c r="L1899" i="7" s="1"/>
  <c r="K930" i="7"/>
  <c r="L930" i="7" s="1"/>
  <c r="K1384" i="7"/>
  <c r="L1384" i="7" s="1"/>
  <c r="K1138" i="7"/>
  <c r="L1138" i="7" s="1"/>
  <c r="K1392" i="7"/>
  <c r="L1392" i="7" s="1"/>
  <c r="K2162" i="7"/>
  <c r="L2162" i="7" s="1"/>
  <c r="K730" i="7"/>
  <c r="L730" i="7" s="1"/>
  <c r="K1400" i="7"/>
  <c r="L1400" i="7" s="1"/>
  <c r="A369" i="7"/>
  <c r="K962" i="7"/>
  <c r="K1194" i="7"/>
  <c r="L1194" i="7" s="1"/>
  <c r="K1292" i="7"/>
  <c r="L1292" i="7" s="1"/>
  <c r="K1408" i="7"/>
  <c r="L1408" i="7" s="1"/>
  <c r="K500" i="7"/>
  <c r="L500" i="7" s="1"/>
  <c r="K986" i="7"/>
  <c r="L986" i="7" s="1"/>
  <c r="K1026" i="7"/>
  <c r="L1026" i="7" s="1"/>
  <c r="K1178" i="7"/>
  <c r="L1178" i="7" s="1"/>
  <c r="K1202" i="7"/>
  <c r="L1202" i="7" s="1"/>
  <c r="K1300" i="7"/>
  <c r="L1300" i="7" s="1"/>
  <c r="K1340" i="7"/>
  <c r="L1340" i="7" s="1"/>
  <c r="K100" i="7"/>
  <c r="L100" i="7" s="1"/>
  <c r="K1034" i="7"/>
  <c r="L1034" i="7" s="1"/>
  <c r="K1154" i="7"/>
  <c r="L1154" i="7" s="1"/>
  <c r="K1210" i="7"/>
  <c r="L1210" i="7" s="1"/>
  <c r="K1308" i="7"/>
  <c r="L1308" i="7" s="1"/>
  <c r="K561" i="7"/>
  <c r="L561" i="7" s="1"/>
  <c r="K1042" i="7"/>
  <c r="L1042" i="7" s="1"/>
  <c r="K1050" i="7"/>
  <c r="L1050" i="7" s="1"/>
  <c r="K1348" i="7"/>
  <c r="L1348" i="7" s="1"/>
  <c r="K1376" i="7"/>
  <c r="K1463" i="7"/>
  <c r="L1463" i="7" s="1"/>
  <c r="K161" i="7"/>
  <c r="L161" i="7" s="1"/>
  <c r="K192" i="7"/>
  <c r="L192" i="7" s="1"/>
  <c r="K208" i="7"/>
  <c r="L208" i="7" s="1"/>
  <c r="K223" i="7"/>
  <c r="K432" i="7"/>
  <c r="L432" i="7" s="1"/>
  <c r="K461" i="7"/>
  <c r="L461" i="7" s="1"/>
  <c r="K19" i="7"/>
  <c r="L19" i="7" s="1"/>
  <c r="K178" i="7"/>
  <c r="L178" i="7" s="1"/>
  <c r="K201" i="7"/>
  <c r="K224" i="7"/>
  <c r="L224" i="7" s="1"/>
  <c r="K13" i="7"/>
  <c r="K26" i="7"/>
  <c r="K202" i="7"/>
  <c r="L202" i="7" s="1"/>
  <c r="K210" i="7"/>
  <c r="L210" i="7" s="1"/>
  <c r="K225" i="7"/>
  <c r="L225" i="7" s="1"/>
  <c r="K241" i="7"/>
  <c r="L241" i="7" s="1"/>
  <c r="K441" i="7"/>
  <c r="L441" i="7" s="1"/>
  <c r="K180" i="7"/>
  <c r="L180" i="7" s="1"/>
  <c r="K211" i="7"/>
  <c r="L211" i="7" s="1"/>
  <c r="K226" i="7"/>
  <c r="L226" i="7" s="1"/>
  <c r="K250" i="7"/>
  <c r="L250" i="7" s="1"/>
  <c r="K212" i="7"/>
  <c r="K227" i="7"/>
  <c r="L227" i="7" s="1"/>
  <c r="K421" i="7"/>
  <c r="L421" i="7" s="1"/>
  <c r="K128" i="7"/>
  <c r="L128" i="7" s="1"/>
  <c r="K189" i="7"/>
  <c r="L189" i="7" s="1"/>
  <c r="K197" i="7"/>
  <c r="L197" i="7" s="1"/>
  <c r="K444" i="7"/>
  <c r="L444" i="7" s="1"/>
  <c r="K91" i="7"/>
  <c r="K221" i="7"/>
  <c r="K229" i="7"/>
  <c r="L229" i="7" s="1"/>
  <c r="K237" i="7"/>
  <c r="K315" i="7"/>
  <c r="L315" i="7" s="1"/>
  <c r="K430" i="7"/>
  <c r="L430" i="7" s="1"/>
  <c r="K445" i="7"/>
  <c r="L445" i="7" s="1"/>
  <c r="K323" i="7"/>
  <c r="L323" i="7" s="1"/>
  <c r="K427" i="7"/>
  <c r="K659" i="7"/>
  <c r="L659" i="7" s="1"/>
  <c r="K667" i="7"/>
  <c r="L667" i="7" s="1"/>
  <c r="K675" i="7"/>
  <c r="L675" i="7" s="1"/>
  <c r="K683" i="7"/>
  <c r="L683" i="7" s="1"/>
  <c r="K691" i="7"/>
  <c r="L691" i="7" s="1"/>
  <c r="K699" i="7"/>
  <c r="L699" i="7" s="1"/>
  <c r="K707" i="7"/>
  <c r="L707" i="7" s="1"/>
  <c r="K715" i="7"/>
  <c r="L715" i="7" s="1"/>
  <c r="K723" i="7"/>
  <c r="L723" i="7" s="1"/>
  <c r="K748" i="7"/>
  <c r="K763" i="7"/>
  <c r="L763" i="7" s="1"/>
  <c r="K787" i="7"/>
  <c r="L787" i="7" s="1"/>
  <c r="K803" i="7"/>
  <c r="L803" i="7" s="1"/>
  <c r="K811" i="7"/>
  <c r="K1277" i="7"/>
  <c r="L1277" i="7" s="1"/>
  <c r="K1285" i="7"/>
  <c r="L1285" i="7" s="1"/>
  <c r="K1309" i="7"/>
  <c r="L1309" i="7" s="1"/>
  <c r="K1317" i="7"/>
  <c r="L1317" i="7" s="1"/>
  <c r="K1325" i="7"/>
  <c r="L1325" i="7" s="1"/>
  <c r="K1333" i="7"/>
  <c r="L1333" i="7" s="1"/>
  <c r="K1341" i="7"/>
  <c r="L1341" i="7" s="1"/>
  <c r="K1652" i="7"/>
  <c r="L1652" i="7" s="1"/>
  <c r="K1911" i="7"/>
  <c r="L1911" i="7" s="1"/>
  <c r="K668" i="7"/>
  <c r="L668" i="7" s="1"/>
  <c r="K676" i="7"/>
  <c r="L676" i="7" s="1"/>
  <c r="K684" i="7"/>
  <c r="L684" i="7" s="1"/>
  <c r="K692" i="7"/>
  <c r="L692" i="7" s="1"/>
  <c r="K700" i="7"/>
  <c r="L700" i="7" s="1"/>
  <c r="K708" i="7"/>
  <c r="L708" i="7" s="1"/>
  <c r="K716" i="7"/>
  <c r="L716" i="7" s="1"/>
  <c r="K724" i="7"/>
  <c r="L724" i="7" s="1"/>
  <c r="K749" i="7"/>
  <c r="K804" i="7"/>
  <c r="L804" i="7" s="1"/>
  <c r="K948" i="7"/>
  <c r="L948" i="7" s="1"/>
  <c r="K1270" i="7"/>
  <c r="L1270" i="7" s="1"/>
  <c r="K1278" i="7"/>
  <c r="L1278" i="7" s="1"/>
  <c r="K1310" i="7"/>
  <c r="L1310" i="7" s="1"/>
  <c r="K1318" i="7"/>
  <c r="L1318" i="7" s="1"/>
  <c r="K1334" i="7"/>
  <c r="L1334" i="7" s="1"/>
  <c r="K1653" i="7"/>
  <c r="L1653" i="7" s="1"/>
  <c r="K254" i="7"/>
  <c r="L254" i="7" s="1"/>
  <c r="K669" i="7"/>
  <c r="L669" i="7" s="1"/>
  <c r="K677" i="7"/>
  <c r="L677" i="7" s="1"/>
  <c r="K693" i="7"/>
  <c r="L693" i="7" s="1"/>
  <c r="K701" i="7"/>
  <c r="L701" i="7" s="1"/>
  <c r="K709" i="7"/>
  <c r="L709" i="7" s="1"/>
  <c r="K717" i="7"/>
  <c r="L717" i="7" s="1"/>
  <c r="K725" i="7"/>
  <c r="L725" i="7" s="1"/>
  <c r="K789" i="7"/>
  <c r="L789" i="7" s="1"/>
  <c r="K909" i="7"/>
  <c r="L909" i="7" s="1"/>
  <c r="K949" i="7"/>
  <c r="L949" i="7" s="1"/>
  <c r="K973" i="7"/>
  <c r="K1271" i="7"/>
  <c r="L1271" i="7" s="1"/>
  <c r="K1279" i="7"/>
  <c r="L1279" i="7" s="1"/>
  <c r="K1319" i="7"/>
  <c r="L1319" i="7" s="1"/>
  <c r="K1335" i="7"/>
  <c r="L1335" i="7" s="1"/>
  <c r="K1351" i="7"/>
  <c r="L1351" i="7" s="1"/>
  <c r="K1638" i="7"/>
  <c r="L1638" i="7" s="1"/>
  <c r="K1994" i="7"/>
  <c r="L1994" i="7" s="1"/>
  <c r="K433" i="7"/>
  <c r="L433" i="7" s="1"/>
  <c r="K670" i="7"/>
  <c r="L670" i="7" s="1"/>
  <c r="K678" i="7"/>
  <c r="L678" i="7" s="1"/>
  <c r="K686" i="7"/>
  <c r="K694" i="7"/>
  <c r="L694" i="7" s="1"/>
  <c r="K702" i="7"/>
  <c r="L702" i="7" s="1"/>
  <c r="K710" i="7"/>
  <c r="L710" i="7" s="1"/>
  <c r="K718" i="7"/>
  <c r="L718" i="7" s="1"/>
  <c r="K726" i="7"/>
  <c r="L726" i="7" s="1"/>
  <c r="K742" i="7"/>
  <c r="L742" i="7" s="1"/>
  <c r="K782" i="7"/>
  <c r="K790" i="7"/>
  <c r="K1272" i="7"/>
  <c r="L1272" i="7" s="1"/>
  <c r="K1280" i="7"/>
  <c r="K1312" i="7"/>
  <c r="K1320" i="7"/>
  <c r="L1320" i="7" s="1"/>
  <c r="K1336" i="7"/>
  <c r="L1336" i="7" s="1"/>
  <c r="K1639" i="7"/>
  <c r="L1639" i="7" s="1"/>
  <c r="K222" i="7"/>
  <c r="L222" i="7" s="1"/>
  <c r="K663" i="7"/>
  <c r="L663" i="7" s="1"/>
  <c r="K679" i="7"/>
  <c r="L679" i="7" s="1"/>
  <c r="K687" i="7"/>
  <c r="K695" i="7"/>
  <c r="L695" i="7" s="1"/>
  <c r="K703" i="7"/>
  <c r="L703" i="7" s="1"/>
  <c r="K711" i="7"/>
  <c r="L711" i="7" s="1"/>
  <c r="K719" i="7"/>
  <c r="L719" i="7" s="1"/>
  <c r="K727" i="7"/>
  <c r="L727" i="7" s="1"/>
  <c r="K783" i="7"/>
  <c r="K791" i="7"/>
  <c r="L791" i="7" s="1"/>
  <c r="K943" i="7"/>
  <c r="L943" i="7" s="1"/>
  <c r="K959" i="7"/>
  <c r="L959" i="7" s="1"/>
  <c r="K1183" i="7"/>
  <c r="L1183" i="7" s="1"/>
  <c r="K1273" i="7"/>
  <c r="L1273" i="7" s="1"/>
  <c r="K1281" i="7"/>
  <c r="L1281" i="7" s="1"/>
  <c r="K1313" i="7"/>
  <c r="L1313" i="7" s="1"/>
  <c r="K1321" i="7"/>
  <c r="L1321" i="7" s="1"/>
  <c r="K1648" i="7"/>
  <c r="L1648" i="7" s="1"/>
  <c r="K656" i="7"/>
  <c r="L656" i="7" s="1"/>
  <c r="K664" i="7"/>
  <c r="L664" i="7" s="1"/>
  <c r="K680" i="7"/>
  <c r="L680" i="7" s="1"/>
  <c r="K688" i="7"/>
  <c r="K696" i="7"/>
  <c r="L696" i="7" s="1"/>
  <c r="K704" i="7"/>
  <c r="L704" i="7" s="1"/>
  <c r="K712" i="7"/>
  <c r="K720" i="7"/>
  <c r="L720" i="7" s="1"/>
  <c r="K728" i="7"/>
  <c r="L728" i="7" s="1"/>
  <c r="K745" i="7"/>
  <c r="K784" i="7"/>
  <c r="K792" i="7"/>
  <c r="L792" i="7" s="1"/>
  <c r="K800" i="7"/>
  <c r="L800" i="7" s="1"/>
  <c r="K832" i="7"/>
  <c r="L832" i="7" s="1"/>
  <c r="K952" i="7"/>
  <c r="L952" i="7" s="1"/>
  <c r="K1274" i="7"/>
  <c r="K1282" i="7"/>
  <c r="L1282" i="7" s="1"/>
  <c r="K1314" i="7"/>
  <c r="L1314" i="7" s="1"/>
  <c r="K1322" i="7"/>
  <c r="L1322" i="7" s="1"/>
  <c r="K1330" i="7"/>
  <c r="L1330" i="7" s="1"/>
  <c r="K207" i="7"/>
  <c r="K238" i="7"/>
  <c r="L238" i="7" s="1"/>
  <c r="K665" i="7"/>
  <c r="L665" i="7" s="1"/>
  <c r="K681" i="7"/>
  <c r="L681" i="7" s="1"/>
  <c r="K689" i="7"/>
  <c r="L689" i="7" s="1"/>
  <c r="K697" i="7"/>
  <c r="L697" i="7" s="1"/>
  <c r="K705" i="7"/>
  <c r="L705" i="7" s="1"/>
  <c r="K713" i="7"/>
  <c r="L713" i="7" s="1"/>
  <c r="K721" i="7"/>
  <c r="L721" i="7" s="1"/>
  <c r="K746" i="7"/>
  <c r="L746" i="7" s="1"/>
  <c r="K761" i="7"/>
  <c r="L761" i="7" s="1"/>
  <c r="K785" i="7"/>
  <c r="L785" i="7" s="1"/>
  <c r="K793" i="7"/>
  <c r="L793" i="7" s="1"/>
  <c r="K801" i="7"/>
  <c r="K945" i="7"/>
  <c r="L945" i="7" s="1"/>
  <c r="K953" i="7"/>
  <c r="L953" i="7" s="1"/>
  <c r="K1275" i="7"/>
  <c r="L1275" i="7" s="1"/>
  <c r="K1283" i="7"/>
  <c r="L1283" i="7" s="1"/>
  <c r="K1315" i="7"/>
  <c r="L1315" i="7" s="1"/>
  <c r="K1323" i="7"/>
  <c r="L1323" i="7" s="1"/>
  <c r="K1331" i="7"/>
  <c r="L1331" i="7" s="1"/>
  <c r="K714" i="7"/>
  <c r="L714" i="7" s="1"/>
  <c r="K747" i="7"/>
  <c r="L747" i="7" s="1"/>
  <c r="K762" i="7"/>
  <c r="L762" i="7" s="1"/>
  <c r="K970" i="7"/>
  <c r="L970" i="7" s="1"/>
  <c r="K722" i="7"/>
  <c r="L722" i="7" s="1"/>
  <c r="K802" i="7"/>
  <c r="L802" i="7" s="1"/>
  <c r="K1276" i="7"/>
  <c r="L1276" i="7" s="1"/>
  <c r="K1332" i="7"/>
  <c r="L1332" i="7" s="1"/>
  <c r="K666" i="7"/>
  <c r="L666" i="7" s="1"/>
  <c r="K1284" i="7"/>
  <c r="L1284" i="7" s="1"/>
  <c r="K786" i="7"/>
  <c r="K682" i="7"/>
  <c r="L682" i="7" s="1"/>
  <c r="K810" i="7"/>
  <c r="L810" i="7" s="1"/>
  <c r="K690" i="7"/>
  <c r="L690" i="7" s="1"/>
  <c r="K698" i="7"/>
  <c r="L698" i="7" s="1"/>
  <c r="K1316" i="7"/>
  <c r="L1316" i="7" s="1"/>
  <c r="K706" i="7"/>
  <c r="L706" i="7" s="1"/>
  <c r="K1324" i="7"/>
  <c r="L1324" i="7" s="1"/>
  <c r="A310" i="7"/>
  <c r="A385" i="7"/>
  <c r="K247" i="7"/>
  <c r="L247" i="7" s="1"/>
  <c r="K827" i="7"/>
  <c r="L827" i="7" s="1"/>
  <c r="K1092" i="7"/>
  <c r="L1092" i="7" s="1"/>
  <c r="K1069" i="7"/>
  <c r="L1069" i="7" s="1"/>
  <c r="K1141" i="7"/>
  <c r="L1141" i="7" s="1"/>
  <c r="K1557" i="7"/>
  <c r="L1557" i="7" s="1"/>
  <c r="K1753" i="7"/>
  <c r="K2125" i="7"/>
  <c r="L2125" i="7" s="1"/>
  <c r="K1070" i="7"/>
  <c r="K1797" i="7"/>
  <c r="L1797" i="7" s="1"/>
  <c r="K2042" i="7"/>
  <c r="L2042" i="7" s="1"/>
  <c r="K497" i="7"/>
  <c r="L497" i="7" s="1"/>
  <c r="K1071" i="7"/>
  <c r="L1071" i="7" s="1"/>
  <c r="K1111" i="7"/>
  <c r="L1111" i="7" s="1"/>
  <c r="K1072" i="7"/>
  <c r="L1072" i="7" s="1"/>
  <c r="K1552" i="7"/>
  <c r="L1552" i="7" s="1"/>
  <c r="K1723" i="7"/>
  <c r="L1723" i="7" s="1"/>
  <c r="K1073" i="7"/>
  <c r="L1073" i="7" s="1"/>
  <c r="K1998" i="7"/>
  <c r="L1998" i="7" s="1"/>
  <c r="K1471" i="7"/>
  <c r="L1471" i="7" s="1"/>
  <c r="K1777" i="7"/>
  <c r="L1777" i="7" s="1"/>
  <c r="K1530" i="7"/>
  <c r="L1530" i="7" s="1"/>
  <c r="K1785" i="7"/>
  <c r="L1785" i="7" s="1"/>
  <c r="K1074" i="7"/>
  <c r="L1074" i="7" s="1"/>
  <c r="K1538" i="7"/>
  <c r="L1538" i="7" s="1"/>
  <c r="K1106" i="7"/>
  <c r="L1106" i="7" s="1"/>
  <c r="K417" i="7"/>
  <c r="K579" i="7"/>
  <c r="L579" i="7" s="1"/>
  <c r="K1896" i="7"/>
  <c r="A4" i="7"/>
  <c r="K463" i="7"/>
  <c r="L463" i="7" s="1"/>
  <c r="K339" i="7"/>
  <c r="L339" i="7" s="1"/>
  <c r="K410" i="7"/>
  <c r="L410" i="7" s="1"/>
  <c r="A423" i="7"/>
  <c r="K295" i="7"/>
  <c r="L295" i="7" s="1"/>
  <c r="K342" i="7"/>
  <c r="L342" i="7" s="1"/>
  <c r="K274" i="7"/>
  <c r="L274" i="7" s="1"/>
  <c r="K384" i="7"/>
  <c r="L384" i="7" s="1"/>
  <c r="K535" i="7"/>
  <c r="L535" i="7" s="1"/>
  <c r="K2147" i="7"/>
  <c r="L2147" i="7" s="1"/>
  <c r="K504" i="7"/>
  <c r="L504" i="7" s="1"/>
  <c r="K1548" i="7"/>
  <c r="L1548" i="7" s="1"/>
  <c r="K1564" i="7"/>
  <c r="L1564" i="7" s="1"/>
  <c r="K861" i="7"/>
  <c r="L861" i="7" s="1"/>
  <c r="K1181" i="7"/>
  <c r="L1181" i="7" s="1"/>
  <c r="K1744" i="7"/>
  <c r="L1744" i="7" s="1"/>
  <c r="K862" i="7"/>
  <c r="L862" i="7" s="1"/>
  <c r="K1174" i="7"/>
  <c r="L1174" i="7" s="1"/>
  <c r="K1182" i="7"/>
  <c r="L1182" i="7" s="1"/>
  <c r="K1412" i="7"/>
  <c r="L1412" i="7" s="1"/>
  <c r="K1865" i="7"/>
  <c r="L1865" i="7" s="1"/>
  <c r="K2134" i="7"/>
  <c r="K1078" i="7"/>
  <c r="L1078" i="7" s="1"/>
  <c r="K1159" i="7"/>
  <c r="L1159" i="7" s="1"/>
  <c r="K1160" i="7"/>
  <c r="L1160" i="7" s="1"/>
  <c r="K1591" i="7"/>
  <c r="L1591" i="7" s="1"/>
  <c r="K160" i="7"/>
  <c r="K634" i="7"/>
  <c r="L634" i="7" s="1"/>
  <c r="K1860" i="7"/>
  <c r="K1876" i="7"/>
  <c r="L1876" i="7" s="1"/>
  <c r="K1793" i="7"/>
  <c r="K1809" i="7"/>
  <c r="L1809" i="7" s="1"/>
  <c r="K1877" i="7"/>
  <c r="L1877" i="7" s="1"/>
  <c r="K440" i="7"/>
  <c r="L440" i="7" s="1"/>
  <c r="K850" i="7"/>
  <c r="L850" i="7" s="1"/>
  <c r="K285" i="7"/>
  <c r="L285" i="7" s="1"/>
  <c r="K286" i="7"/>
  <c r="L286" i="7" s="1"/>
  <c r="K479" i="7"/>
  <c r="L479" i="7" s="1"/>
  <c r="K835" i="7"/>
  <c r="L835" i="7" s="1"/>
  <c r="K757" i="7"/>
  <c r="L757" i="7" s="1"/>
  <c r="K613" i="7"/>
  <c r="L613" i="7" s="1"/>
  <c r="K350" i="7"/>
  <c r="L350" i="7" s="1"/>
  <c r="K593" i="7"/>
  <c r="L593" i="7" s="1"/>
  <c r="K314" i="7"/>
  <c r="L314" i="7" s="1"/>
  <c r="K475" i="7"/>
  <c r="L475" i="7" s="1"/>
  <c r="K1480" i="7"/>
  <c r="L1480" i="7" s="1"/>
  <c r="K1598" i="7"/>
  <c r="L1598" i="7" s="1"/>
  <c r="K1718" i="7"/>
  <c r="L1718" i="7" s="1"/>
  <c r="K1952" i="7"/>
  <c r="L1952" i="7" s="1"/>
  <c r="K1992" i="7"/>
  <c r="K1362" i="7"/>
  <c r="L1362" i="7" s="1"/>
  <c r="K1481" i="7"/>
  <c r="K1508" i="7"/>
  <c r="L1508" i="7" s="1"/>
  <c r="K1719" i="7"/>
  <c r="K1993" i="7"/>
  <c r="L1993" i="7" s="1"/>
  <c r="K1419" i="7"/>
  <c r="L1419" i="7" s="1"/>
  <c r="K1498" i="7"/>
  <c r="L1498" i="7" s="1"/>
  <c r="K1509" i="7"/>
  <c r="L1509" i="7" s="1"/>
  <c r="K1720" i="7"/>
  <c r="L1720" i="7" s="1"/>
  <c r="K1420" i="7"/>
  <c r="L1420" i="7" s="1"/>
  <c r="K1510" i="7"/>
  <c r="L1510" i="7" s="1"/>
  <c r="K1558" i="7"/>
  <c r="L1558" i="7" s="1"/>
  <c r="K903" i="7"/>
  <c r="K1956" i="7"/>
  <c r="L1956" i="7" s="1"/>
  <c r="K1988" i="7"/>
  <c r="L1988" i="7" s="1"/>
  <c r="K1414" i="7"/>
  <c r="L1414" i="7" s="1"/>
  <c r="K1501" i="7"/>
  <c r="L1501" i="7" s="1"/>
  <c r="K1691" i="7"/>
  <c r="L1691" i="7" s="1"/>
  <c r="K1989" i="7"/>
  <c r="L1989" i="7" s="1"/>
  <c r="K2005" i="7"/>
  <c r="K1415" i="7"/>
  <c r="L1415" i="7" s="1"/>
  <c r="K1502" i="7"/>
  <c r="K1529" i="7"/>
  <c r="L1529" i="7" s="1"/>
  <c r="K1990" i="7"/>
  <c r="L1990" i="7" s="1"/>
  <c r="K1360" i="7"/>
  <c r="L1360" i="7" s="1"/>
  <c r="K1991" i="7"/>
  <c r="L1991" i="7" s="1"/>
  <c r="K1951" i="7"/>
  <c r="L1951" i="7" s="1"/>
  <c r="K200" i="7"/>
  <c r="L200" i="7" s="1"/>
  <c r="K7" i="7"/>
  <c r="L7" i="7" s="1"/>
  <c r="K460" i="7"/>
  <c r="L460" i="7" s="1"/>
  <c r="K1682" i="7"/>
  <c r="L1682" i="7" s="1"/>
  <c r="K972" i="7"/>
  <c r="L972" i="7" s="1"/>
  <c r="K1920" i="7"/>
  <c r="L1920" i="7" s="1"/>
  <c r="K741" i="7"/>
  <c r="L741" i="7" s="1"/>
  <c r="K1328" i="7"/>
  <c r="K18" i="7"/>
  <c r="L18" i="7" s="1"/>
  <c r="K454" i="7"/>
  <c r="K188" i="7"/>
  <c r="L188" i="7" s="1"/>
  <c r="K947" i="7"/>
  <c r="L947" i="7" s="1"/>
  <c r="K685" i="7"/>
  <c r="K1311" i="7"/>
  <c r="L1311" i="7" s="1"/>
  <c r="K1158" i="7"/>
  <c r="L1158" i="7" s="1"/>
  <c r="K1669" i="7"/>
  <c r="L1669" i="7" s="1"/>
  <c r="K1161" i="7"/>
  <c r="L1161" i="7" s="1"/>
  <c r="K1910" i="7"/>
  <c r="L1910" i="7" s="1"/>
  <c r="K271" i="7"/>
  <c r="L271" i="7" s="1"/>
  <c r="K334" i="7"/>
  <c r="K381" i="7"/>
  <c r="K507" i="7"/>
  <c r="L507" i="7" s="1"/>
  <c r="K336" i="7"/>
  <c r="K502" i="7"/>
  <c r="L502" i="7" s="1"/>
  <c r="K644" i="7"/>
  <c r="L644" i="7" s="1"/>
  <c r="K1870" i="7"/>
  <c r="L1870" i="7" s="1"/>
  <c r="K493" i="7"/>
  <c r="L493" i="7" s="1"/>
  <c r="K1524" i="7"/>
  <c r="L1524" i="7" s="1"/>
  <c r="K821" i="7"/>
  <c r="L821" i="7" s="1"/>
  <c r="K1762" i="7"/>
  <c r="L1762" i="7" s="1"/>
  <c r="K1872" i="7"/>
  <c r="L1872" i="7" s="1"/>
  <c r="K990" i="7"/>
  <c r="L990" i="7" s="1"/>
  <c r="K1763" i="7"/>
  <c r="L1763" i="7" s="1"/>
  <c r="K999" i="7"/>
  <c r="L999" i="7" s="1"/>
  <c r="K1056" i="7"/>
  <c r="L1056" i="7" s="1"/>
  <c r="K1064" i="7"/>
  <c r="L1064" i="7" s="1"/>
  <c r="K1469" i="7"/>
  <c r="L1469" i="7" s="1"/>
  <c r="K1868" i="7"/>
  <c r="L1868" i="7" s="1"/>
  <c r="K1455" i="7"/>
  <c r="L1455" i="7" s="1"/>
  <c r="K76" i="7"/>
  <c r="L76" i="7" s="1"/>
  <c r="K42" i="7"/>
  <c r="K526" i="7"/>
  <c r="L526" i="7" s="1"/>
  <c r="K299" i="7"/>
  <c r="L299" i="7" s="1"/>
  <c r="K390" i="7"/>
  <c r="L390" i="7" s="1"/>
  <c r="K1886" i="7"/>
  <c r="L1886" i="7" s="1"/>
  <c r="K2173" i="7"/>
  <c r="K1482" i="7"/>
  <c r="K822" i="7"/>
  <c r="L822" i="7" s="1"/>
  <c r="K1821" i="7"/>
  <c r="L1821" i="7" s="1"/>
  <c r="K1629" i="7"/>
  <c r="L1629" i="7" s="1"/>
  <c r="K498" i="7"/>
  <c r="L498" i="7" s="1"/>
  <c r="K1065" i="7"/>
  <c r="L1065" i="7" s="1"/>
  <c r="K1193" i="7"/>
  <c r="L1193" i="7" s="1"/>
  <c r="K674" i="7"/>
  <c r="L674" i="7" s="1"/>
  <c r="K11" i="7"/>
  <c r="K12" i="7"/>
  <c r="K173" i="7"/>
  <c r="L173" i="7" s="1"/>
  <c r="K443" i="7"/>
  <c r="K174" i="7"/>
  <c r="L174" i="7" s="1"/>
  <c r="K442" i="7"/>
  <c r="K1667" i="7"/>
  <c r="L1667" i="7" s="1"/>
  <c r="K671" i="7"/>
  <c r="L671" i="7" s="1"/>
  <c r="K1668" i="7"/>
  <c r="L1668" i="7" s="1"/>
  <c r="K2035" i="7"/>
  <c r="L2035" i="7" s="1"/>
  <c r="K672" i="7"/>
  <c r="L672" i="7" s="1"/>
  <c r="K936" i="7"/>
  <c r="L936" i="7" s="1"/>
  <c r="K1266" i="7"/>
  <c r="L1266" i="7" s="1"/>
  <c r="K2036" i="7"/>
  <c r="L2036" i="7" s="1"/>
  <c r="K937" i="7"/>
  <c r="L937" i="7" s="1"/>
  <c r="K1267" i="7"/>
  <c r="L1267" i="7" s="1"/>
  <c r="A170" i="7"/>
  <c r="A292" i="7"/>
  <c r="K340" i="7"/>
  <c r="K248" i="7"/>
  <c r="L248" i="7" s="1"/>
  <c r="K270" i="7"/>
  <c r="L270" i="7" s="1"/>
  <c r="K341" i="7"/>
  <c r="L341" i="7" s="1"/>
  <c r="K319" i="7"/>
  <c r="L319" i="7" s="1"/>
  <c r="K337" i="7"/>
  <c r="L337" i="7" s="1"/>
  <c r="K437" i="7"/>
  <c r="K84" i="7"/>
  <c r="L84" i="7" s="1"/>
  <c r="K553" i="7"/>
  <c r="L553" i="7" s="1"/>
  <c r="K1131" i="7"/>
  <c r="L1131" i="7" s="1"/>
  <c r="K1547" i="7"/>
  <c r="L1547" i="7" s="1"/>
  <c r="K1571" i="7"/>
  <c r="L1571" i="7" s="1"/>
  <c r="K2047" i="7"/>
  <c r="K2131" i="7"/>
  <c r="L2131" i="7" s="1"/>
  <c r="K860" i="7"/>
  <c r="K892" i="7"/>
  <c r="K1060" i="7"/>
  <c r="L1060" i="7" s="1"/>
  <c r="K1076" i="7"/>
  <c r="L1076" i="7" s="1"/>
  <c r="K1124" i="7"/>
  <c r="L1124" i="7" s="1"/>
  <c r="K1572" i="7"/>
  <c r="L1572" i="7" s="1"/>
  <c r="K1580" i="7"/>
  <c r="L1580" i="7" s="1"/>
  <c r="K2132" i="7"/>
  <c r="L2132" i="7" s="1"/>
  <c r="K877" i="7"/>
  <c r="L877" i="7" s="1"/>
  <c r="K1573" i="7"/>
  <c r="L1573" i="7" s="1"/>
  <c r="K1581" i="7"/>
  <c r="L1581" i="7" s="1"/>
  <c r="K1780" i="7"/>
  <c r="L1780" i="7" s="1"/>
  <c r="K2157" i="7"/>
  <c r="L2157" i="7" s="1"/>
  <c r="K878" i="7"/>
  <c r="L878" i="7" s="1"/>
  <c r="K1534" i="7"/>
  <c r="L1534" i="7" s="1"/>
  <c r="K1781" i="7"/>
  <c r="L1781" i="7" s="1"/>
  <c r="K1805" i="7"/>
  <c r="L1805" i="7" s="1"/>
  <c r="K2158" i="7"/>
  <c r="L2158" i="7" s="1"/>
  <c r="K839" i="7"/>
  <c r="L839" i="7" s="1"/>
  <c r="K847" i="7"/>
  <c r="L847" i="7" s="1"/>
  <c r="K1135" i="7"/>
  <c r="L1135" i="7" s="1"/>
  <c r="K1476" i="7"/>
  <c r="L1476" i="7" s="1"/>
  <c r="K1535" i="7"/>
  <c r="L1535" i="7" s="1"/>
  <c r="K1790" i="7"/>
  <c r="L1790" i="7" s="1"/>
  <c r="K1806" i="7"/>
  <c r="L1806" i="7" s="1"/>
  <c r="K1866" i="7"/>
  <c r="L1866" i="7" s="1"/>
  <c r="K2143" i="7"/>
  <c r="L2143" i="7" s="1"/>
  <c r="K574" i="7"/>
  <c r="L574" i="7" s="1"/>
  <c r="K816" i="7"/>
  <c r="K848" i="7"/>
  <c r="L848" i="7" s="1"/>
  <c r="K1136" i="7"/>
  <c r="K1477" i="7"/>
  <c r="K1536" i="7"/>
  <c r="K1791" i="7"/>
  <c r="L1791" i="7" s="1"/>
  <c r="K2144" i="7"/>
  <c r="L2144" i="7" s="1"/>
  <c r="K1097" i="7"/>
  <c r="L1097" i="7" s="1"/>
  <c r="K1439" i="7"/>
  <c r="L1439" i="7" s="1"/>
  <c r="K1478" i="7"/>
  <c r="L1478" i="7" s="1"/>
  <c r="K1757" i="7"/>
  <c r="L1757" i="7" s="1"/>
  <c r="K1816" i="7"/>
  <c r="L1816" i="7" s="1"/>
  <c r="K2121" i="7"/>
  <c r="L2121" i="7" s="1"/>
  <c r="K2145" i="7"/>
  <c r="L2145" i="7" s="1"/>
  <c r="K1546" i="7"/>
  <c r="K1817" i="7"/>
  <c r="L1817" i="7" s="1"/>
  <c r="K1758" i="7"/>
  <c r="L1758" i="7" s="1"/>
  <c r="K2046" i="7"/>
  <c r="L2046" i="7" s="1"/>
  <c r="K2122" i="7"/>
  <c r="L2122" i="7" s="1"/>
  <c r="K923" i="7"/>
  <c r="L923" i="7" s="1"/>
  <c r="K924" i="7"/>
  <c r="L924" i="7" s="1"/>
  <c r="K925" i="7"/>
  <c r="L925" i="7" s="1"/>
  <c r="K926" i="7"/>
  <c r="L926" i="7" s="1"/>
  <c r="K1933" i="7"/>
  <c r="L1933" i="7" s="1"/>
  <c r="K927" i="7"/>
  <c r="L927" i="7" s="1"/>
  <c r="K1329" i="7"/>
  <c r="L1329" i="7" s="1"/>
  <c r="K1353" i="7"/>
  <c r="L1353" i="7" s="1"/>
  <c r="K1603" i="7"/>
  <c r="L1603" i="7" s="1"/>
  <c r="K920" i="7"/>
  <c r="L920" i="7" s="1"/>
  <c r="K928" i="7"/>
  <c r="L928" i="7" s="1"/>
  <c r="K1823" i="7"/>
  <c r="L1823" i="7" s="1"/>
  <c r="K921" i="7"/>
  <c r="K1631" i="7"/>
  <c r="L1631" i="7" s="1"/>
  <c r="K922" i="7"/>
  <c r="L922" i="7" s="1"/>
  <c r="K309" i="7"/>
  <c r="L309" i="7" s="1"/>
  <c r="K148" i="7"/>
  <c r="L148" i="7" s="1"/>
  <c r="K631" i="7"/>
  <c r="L631" i="7" s="1"/>
  <c r="K143" i="7"/>
  <c r="K1625" i="7"/>
  <c r="L1625" i="7" s="1"/>
  <c r="K1901" i="7"/>
  <c r="L1901" i="7" s="1"/>
  <c r="K2172" i="7"/>
  <c r="L2172" i="7" s="1"/>
  <c r="K637" i="7"/>
  <c r="L637" i="7" s="1"/>
  <c r="K820" i="7"/>
  <c r="L820" i="7" s="1"/>
  <c r="K1457" i="7"/>
  <c r="K1600" i="7"/>
  <c r="L1600" i="7" s="1"/>
  <c r="K629" i="7"/>
  <c r="L629" i="7" s="1"/>
  <c r="K638" i="7"/>
  <c r="L638" i="7" s="1"/>
  <c r="K1895" i="7"/>
  <c r="K2174" i="7"/>
  <c r="L2174" i="7" s="1"/>
  <c r="K934" i="7"/>
  <c r="L934" i="7" s="1"/>
  <c r="K1413" i="7"/>
  <c r="L1413" i="7" s="1"/>
  <c r="K1494" i="7"/>
  <c r="L1494" i="7" s="1"/>
  <c r="K2169" i="7"/>
  <c r="L2169" i="7" s="1"/>
  <c r="K2170" i="7"/>
  <c r="L2170" i="7" s="1"/>
  <c r="K1058" i="7"/>
  <c r="L1058" i="7" s="1"/>
  <c r="K1717" i="7"/>
  <c r="L1717" i="7" s="1"/>
  <c r="K1242" i="7"/>
  <c r="L1242" i="7" s="1"/>
  <c r="K2171" i="7"/>
  <c r="L2171" i="7" s="1"/>
  <c r="K395" i="7"/>
  <c r="L395" i="7" s="1"/>
  <c r="K397" i="7"/>
  <c r="K1237" i="7"/>
  <c r="L1237" i="7" s="1"/>
  <c r="K1922" i="7"/>
  <c r="L1922" i="7" s="1"/>
  <c r="K1265" i="7"/>
  <c r="K1996" i="7"/>
  <c r="L1996" i="7" s="1"/>
  <c r="K1176" i="7"/>
  <c r="L1176" i="7" s="1"/>
  <c r="K1783" i="7"/>
  <c r="L1783" i="7" s="1"/>
  <c r="K1916" i="7"/>
  <c r="L1916" i="7" s="1"/>
  <c r="K398" i="7"/>
  <c r="K2153" i="7"/>
  <c r="L2153" i="7" s="1"/>
  <c r="A129" i="7"/>
  <c r="K357" i="7"/>
  <c r="L357" i="7" s="1"/>
  <c r="K509" i="7"/>
  <c r="L509" i="7" s="1"/>
  <c r="K1163" i="7"/>
  <c r="L1163" i="7" s="1"/>
  <c r="K2123" i="7"/>
  <c r="L2123" i="7" s="1"/>
  <c r="K1752" i="7"/>
  <c r="L1752" i="7" s="1"/>
  <c r="K1782" i="7"/>
  <c r="L1782" i="7" s="1"/>
  <c r="K68" i="7"/>
  <c r="L68" i="7" s="1"/>
  <c r="K840" i="7"/>
  <c r="L840" i="7" s="1"/>
  <c r="K1537" i="7"/>
  <c r="L1537" i="7" s="1"/>
  <c r="K107" i="7"/>
  <c r="L107" i="7" s="1"/>
  <c r="K115" i="7"/>
  <c r="K138" i="7"/>
  <c r="L138" i="7" s="1"/>
  <c r="K231" i="7"/>
  <c r="K387" i="7"/>
  <c r="L387" i="7" s="1"/>
  <c r="K483" i="7"/>
  <c r="L483" i="7" s="1"/>
  <c r="K108" i="7"/>
  <c r="L108" i="7" s="1"/>
  <c r="K116" i="7"/>
  <c r="L116" i="7" s="1"/>
  <c r="K256" i="7"/>
  <c r="L256" i="7" s="1"/>
  <c r="K109" i="7"/>
  <c r="L109" i="7" s="1"/>
  <c r="K117" i="7"/>
  <c r="K257" i="7"/>
  <c r="L257" i="7" s="1"/>
  <c r="K485" i="7"/>
  <c r="K27" i="7"/>
  <c r="K110" i="7"/>
  <c r="K118" i="7"/>
  <c r="K28" i="7"/>
  <c r="A28" i="7" s="1"/>
  <c r="K111" i="7"/>
  <c r="L111" i="7" s="1"/>
  <c r="K119" i="7"/>
  <c r="L119" i="7" s="1"/>
  <c r="K149" i="7"/>
  <c r="L149" i="7" s="1"/>
  <c r="K235" i="7"/>
  <c r="L235" i="7" s="1"/>
  <c r="K601" i="7"/>
  <c r="L601" i="7" s="1"/>
  <c r="K104" i="7"/>
  <c r="L104" i="7" s="1"/>
  <c r="K112" i="7"/>
  <c r="L112" i="7" s="1"/>
  <c r="K120" i="7"/>
  <c r="K244" i="7"/>
  <c r="L244" i="7" s="1"/>
  <c r="K602" i="7"/>
  <c r="L602" i="7" s="1"/>
  <c r="K113" i="7"/>
  <c r="K121" i="7"/>
  <c r="L121" i="7" s="1"/>
  <c r="K245" i="7"/>
  <c r="L245" i="7" s="1"/>
  <c r="K393" i="7"/>
  <c r="L393" i="7" s="1"/>
  <c r="K605" i="7"/>
  <c r="K955" i="7"/>
  <c r="L955" i="7" s="1"/>
  <c r="K1644" i="7"/>
  <c r="L1644" i="7" s="1"/>
  <c r="K2039" i="7"/>
  <c r="L2039" i="7" s="1"/>
  <c r="K246" i="7"/>
  <c r="L246" i="7" s="1"/>
  <c r="K482" i="7"/>
  <c r="L482" i="7" s="1"/>
  <c r="K606" i="7"/>
  <c r="K1418" i="7"/>
  <c r="L1418" i="7" s="1"/>
  <c r="K1661" i="7"/>
  <c r="L1661" i="7" s="1"/>
  <c r="K1675" i="7"/>
  <c r="L1675" i="7" s="1"/>
  <c r="K2040" i="7"/>
  <c r="L2040" i="7" s="1"/>
  <c r="K2048" i="7"/>
  <c r="K106" i="7"/>
  <c r="L106" i="7" s="1"/>
  <c r="K484" i="7"/>
  <c r="K758" i="7"/>
  <c r="L758" i="7" s="1"/>
  <c r="K941" i="7"/>
  <c r="K1646" i="7"/>
  <c r="L1646" i="7" s="1"/>
  <c r="K2049" i="7"/>
  <c r="L2049" i="7" s="1"/>
  <c r="K114" i="7"/>
  <c r="L114" i="7" s="1"/>
  <c r="K1166" i="7"/>
  <c r="L1166" i="7" s="1"/>
  <c r="K1647" i="7"/>
  <c r="L1647" i="7" s="1"/>
  <c r="K2074" i="7"/>
  <c r="L2074" i="7" s="1"/>
  <c r="K394" i="7"/>
  <c r="K744" i="7"/>
  <c r="K752" i="7"/>
  <c r="L752" i="7" s="1"/>
  <c r="K919" i="7"/>
  <c r="K1421" i="7"/>
  <c r="L1421" i="7" s="1"/>
  <c r="K2075" i="7"/>
  <c r="L2075" i="7" s="1"/>
  <c r="K2159" i="7"/>
  <c r="L2159" i="7" s="1"/>
  <c r="K614" i="7"/>
  <c r="L614" i="7" s="1"/>
  <c r="K753" i="7"/>
  <c r="L753" i="7" s="1"/>
  <c r="K1257" i="7"/>
  <c r="L1257" i="7" s="1"/>
  <c r="K1622" i="7"/>
  <c r="L1622" i="7" s="1"/>
  <c r="K1641" i="7"/>
  <c r="L1641" i="7" s="1"/>
  <c r="K1831" i="7"/>
  <c r="L1831" i="7" s="1"/>
  <c r="K2052" i="7"/>
  <c r="L2052" i="7" s="1"/>
  <c r="K993" i="7"/>
  <c r="K1258" i="7"/>
  <c r="L1258" i="7" s="1"/>
  <c r="K1513" i="7"/>
  <c r="L1513" i="7" s="1"/>
  <c r="K1642" i="7"/>
  <c r="L1642" i="7" s="1"/>
  <c r="K1766" i="7"/>
  <c r="L1766" i="7" s="1"/>
  <c r="K1832" i="7"/>
  <c r="L1832" i="7" s="1"/>
  <c r="K1891" i="7"/>
  <c r="K2013" i="7"/>
  <c r="L2013" i="7" s="1"/>
  <c r="K1614" i="7"/>
  <c r="L1614" i="7" s="1"/>
  <c r="K1643" i="7"/>
  <c r="L1643" i="7" s="1"/>
  <c r="K2038" i="7"/>
  <c r="L2038" i="7" s="1"/>
  <c r="K1733" i="7"/>
  <c r="L1733" i="7" s="1"/>
  <c r="A422" i="7"/>
  <c r="A220" i="7"/>
  <c r="K93" i="7"/>
  <c r="L93" i="7" s="1"/>
  <c r="K317" i="7"/>
  <c r="L317" i="7" s="1"/>
  <c r="K94" i="7"/>
  <c r="L94" i="7" s="1"/>
  <c r="K318" i="7"/>
  <c r="L318" i="7" s="1"/>
  <c r="K372" i="7"/>
  <c r="K5" i="7"/>
  <c r="L5" i="7" s="1"/>
  <c r="K263" i="7"/>
  <c r="L263" i="7" s="1"/>
  <c r="K531" i="7"/>
  <c r="L531" i="7" s="1"/>
  <c r="K351" i="7"/>
  <c r="L351" i="7" s="1"/>
  <c r="K281" i="7"/>
  <c r="L281" i="7" s="1"/>
  <c r="K428" i="7"/>
  <c r="K541" i="7"/>
  <c r="L541" i="7" s="1"/>
  <c r="K82" i="7"/>
  <c r="K90" i="7"/>
  <c r="K282" i="7"/>
  <c r="L282" i="7" s="1"/>
  <c r="K406" i="7"/>
  <c r="L406" i="7" s="1"/>
  <c r="K54" i="7"/>
  <c r="K83" i="7"/>
  <c r="L83" i="7" s="1"/>
  <c r="K190" i="7"/>
  <c r="L190" i="7" s="1"/>
  <c r="K267" i="7"/>
  <c r="L267" i="7" s="1"/>
  <c r="K452" i="7"/>
  <c r="L452" i="7" s="1"/>
  <c r="K511" i="7"/>
  <c r="L511" i="7" s="1"/>
  <c r="K527" i="7"/>
  <c r="L527" i="7" s="1"/>
  <c r="K939" i="7"/>
  <c r="L939" i="7" s="1"/>
  <c r="K1539" i="7"/>
  <c r="L1539" i="7" s="1"/>
  <c r="K1802" i="7"/>
  <c r="L1802" i="7" s="1"/>
  <c r="K660" i="7"/>
  <c r="L660" i="7" s="1"/>
  <c r="K932" i="7"/>
  <c r="L932" i="7" s="1"/>
  <c r="K1068" i="7"/>
  <c r="L1068" i="7" s="1"/>
  <c r="K1540" i="7"/>
  <c r="L1540" i="7" s="1"/>
  <c r="K1645" i="7"/>
  <c r="L1645" i="7" s="1"/>
  <c r="K1686" i="7"/>
  <c r="L1686" i="7" s="1"/>
  <c r="K1836" i="7"/>
  <c r="L1836" i="7" s="1"/>
  <c r="K1912" i="7"/>
  <c r="L1912" i="7" s="1"/>
  <c r="K654" i="7"/>
  <c r="L654" i="7" s="1"/>
  <c r="K1458" i="7"/>
  <c r="K1565" i="7"/>
  <c r="L1565" i="7" s="1"/>
  <c r="K1609" i="7"/>
  <c r="L1609" i="7" s="1"/>
  <c r="K1654" i="7"/>
  <c r="L1654" i="7" s="1"/>
  <c r="K1887" i="7"/>
  <c r="L1887" i="7" s="1"/>
  <c r="K598" i="7"/>
  <c r="L598" i="7" s="1"/>
  <c r="K1566" i="7"/>
  <c r="L1566" i="7" s="1"/>
  <c r="K1773" i="7"/>
  <c r="L1773" i="7" s="1"/>
  <c r="K1873" i="7"/>
  <c r="L1873" i="7" s="1"/>
  <c r="K2126" i="7"/>
  <c r="L2126" i="7" s="1"/>
  <c r="K2167" i="7"/>
  <c r="L2167" i="7" s="1"/>
  <c r="K10" i="7"/>
  <c r="K122" i="7"/>
  <c r="K1247" i="7"/>
  <c r="L1247" i="7" s="1"/>
  <c r="K1575" i="7"/>
  <c r="L1575" i="7" s="1"/>
  <c r="K1774" i="7"/>
  <c r="L1774" i="7" s="1"/>
  <c r="K1798" i="7"/>
  <c r="L1798" i="7" s="1"/>
  <c r="K1874" i="7"/>
  <c r="K808" i="7"/>
  <c r="L808" i="7" s="1"/>
  <c r="K824" i="7"/>
  <c r="L824" i="7" s="1"/>
  <c r="K1112" i="7"/>
  <c r="K1120" i="7"/>
  <c r="L1120" i="7" s="1"/>
  <c r="K1128" i="7"/>
  <c r="L1128" i="7" s="1"/>
  <c r="K1840" i="7"/>
  <c r="L1840" i="7" s="1"/>
  <c r="K2110" i="7"/>
  <c r="L2110" i="7" s="1"/>
  <c r="K2152" i="7"/>
  <c r="L2152" i="7" s="1"/>
  <c r="K2160" i="7"/>
  <c r="L2160" i="7" s="1"/>
  <c r="K489" i="7"/>
  <c r="L489" i="7" s="1"/>
  <c r="K650" i="7"/>
  <c r="L650" i="7" s="1"/>
  <c r="K1129" i="7"/>
  <c r="L1129" i="7" s="1"/>
  <c r="K2137" i="7"/>
  <c r="K643" i="7"/>
  <c r="L643" i="7" s="1"/>
  <c r="K532" i="7"/>
  <c r="L532" i="7" s="1"/>
  <c r="K1929" i="7"/>
  <c r="L1929" i="7" s="1"/>
  <c r="K858" i="7"/>
  <c r="L858" i="7" s="1"/>
  <c r="K1082" i="7"/>
  <c r="L1082" i="7" s="1"/>
  <c r="K842" i="7"/>
  <c r="L842" i="7" s="1"/>
  <c r="K938" i="7"/>
  <c r="L938" i="7" s="1"/>
  <c r="K2054" i="7"/>
  <c r="L2054" i="7" s="1"/>
  <c r="K1562" i="7"/>
  <c r="L1562" i="7" s="1"/>
  <c r="K1659" i="7"/>
  <c r="L1659" i="7" s="1"/>
  <c r="K1130" i="7"/>
  <c r="L1130" i="7" s="1"/>
  <c r="K1268" i="7"/>
  <c r="L1268" i="7" s="1"/>
  <c r="K477" i="7"/>
  <c r="L477" i="7" s="1"/>
  <c r="K179" i="7"/>
  <c r="K426" i="7"/>
  <c r="K554" i="7"/>
  <c r="L554" i="7" s="1"/>
  <c r="K59" i="7"/>
  <c r="L59" i="7" s="1"/>
  <c r="K329" i="7"/>
  <c r="L329" i="7" s="1"/>
  <c r="K60" i="7"/>
  <c r="K330" i="7"/>
  <c r="L330" i="7" s="1"/>
  <c r="K23" i="7"/>
  <c r="K61" i="7"/>
  <c r="K213" i="7"/>
  <c r="L213" i="7" s="1"/>
  <c r="K298" i="7"/>
  <c r="L298" i="7" s="1"/>
  <c r="K17" i="7"/>
  <c r="K24" i="7"/>
  <c r="K137" i="7"/>
  <c r="K261" i="7"/>
  <c r="K488" i="7"/>
  <c r="L488" i="7" s="1"/>
  <c r="K455" i="7"/>
  <c r="L455" i="7" s="1"/>
  <c r="K636" i="7"/>
  <c r="L636" i="7" s="1"/>
  <c r="K907" i="7"/>
  <c r="L907" i="7" s="1"/>
  <c r="K1011" i="7"/>
  <c r="L1011" i="7" s="1"/>
  <c r="K1261" i="7"/>
  <c r="L1261" i="7" s="1"/>
  <c r="K1593" i="7"/>
  <c r="L1593" i="7" s="1"/>
  <c r="K1132" i="7"/>
  <c r="L1132" i="7" s="1"/>
  <c r="K1594" i="7"/>
  <c r="K1664" i="7"/>
  <c r="K1770" i="7"/>
  <c r="L1770" i="7" s="1"/>
  <c r="K1355" i="7"/>
  <c r="L1355" i="7" s="1"/>
  <c r="K1665" i="7"/>
  <c r="L1665" i="7" s="1"/>
  <c r="K1771" i="7"/>
  <c r="L1771" i="7" s="1"/>
  <c r="K1908" i="7"/>
  <c r="L1908" i="7" s="1"/>
  <c r="K798" i="7"/>
  <c r="L798" i="7" s="1"/>
  <c r="K870" i="7"/>
  <c r="L870" i="7" s="1"/>
  <c r="K942" i="7"/>
  <c r="L942" i="7" s="1"/>
  <c r="K1142" i="7"/>
  <c r="L1142" i="7" s="1"/>
  <c r="K1356" i="7"/>
  <c r="L1356" i="7" s="1"/>
  <c r="K2100" i="7"/>
  <c r="L2100" i="7" s="1"/>
  <c r="K799" i="7"/>
  <c r="L799" i="7" s="1"/>
  <c r="K1684" i="7"/>
  <c r="L1684" i="7" s="1"/>
  <c r="K1926" i="7"/>
  <c r="L1926" i="7" s="1"/>
  <c r="K1080" i="7"/>
  <c r="L1080" i="7" s="1"/>
  <c r="K1192" i="7"/>
  <c r="L1192" i="7" s="1"/>
  <c r="K1503" i="7"/>
  <c r="L1503" i="7" s="1"/>
  <c r="K1842" i="7"/>
  <c r="L1842" i="7" s="1"/>
  <c r="K2114" i="7"/>
  <c r="L2114" i="7" s="1"/>
  <c r="K673" i="7"/>
  <c r="L673" i="7" s="1"/>
  <c r="K977" i="7"/>
  <c r="K1137" i="7"/>
  <c r="L1137" i="7" s="1"/>
  <c r="K1689" i="7"/>
  <c r="K1843" i="7"/>
  <c r="K1592" i="7"/>
  <c r="L1592" i="7" s="1"/>
  <c r="K1947" i="7"/>
  <c r="L1947" i="7" s="1"/>
  <c r="K946" i="7"/>
  <c r="L946" i="7" s="1"/>
  <c r="K239" i="7"/>
  <c r="K255" i="7"/>
  <c r="L255" i="7" s="1"/>
  <c r="K332" i="7"/>
  <c r="K521" i="7"/>
  <c r="L521" i="7" s="1"/>
  <c r="K240" i="7"/>
  <c r="K34" i="7"/>
  <c r="K233" i="7"/>
  <c r="K249" i="7"/>
  <c r="L249" i="7" s="1"/>
  <c r="K365" i="7"/>
  <c r="L365" i="7" s="1"/>
  <c r="K523" i="7"/>
  <c r="L523" i="7" s="1"/>
  <c r="K234" i="7"/>
  <c r="L234" i="7" s="1"/>
  <c r="K22" i="7"/>
  <c r="K29" i="7"/>
  <c r="L29" i="7" s="1"/>
  <c r="K37" i="7"/>
  <c r="K236" i="7"/>
  <c r="L236" i="7" s="1"/>
  <c r="K266" i="7"/>
  <c r="L266" i="7" s="1"/>
  <c r="K30" i="7"/>
  <c r="K38" i="7"/>
  <c r="K253" i="7"/>
  <c r="L253" i="7" s="1"/>
  <c r="K971" i="7"/>
  <c r="L971" i="7" s="1"/>
  <c r="K1091" i="7"/>
  <c r="L1091" i="7" s="1"/>
  <c r="K1636" i="7"/>
  <c r="L1636" i="7" s="1"/>
  <c r="K1759" i="7"/>
  <c r="L1759" i="7" s="1"/>
  <c r="K1938" i="7"/>
  <c r="L1938" i="7" s="1"/>
  <c r="K956" i="7"/>
  <c r="L956" i="7" s="1"/>
  <c r="K1953" i="7"/>
  <c r="L1953" i="7" s="1"/>
  <c r="K2056" i="7"/>
  <c r="L2056" i="7" s="1"/>
  <c r="K418" i="7"/>
  <c r="L418" i="7" s="1"/>
  <c r="K813" i="7"/>
  <c r="K957" i="7"/>
  <c r="L957" i="7" s="1"/>
  <c r="K1619" i="7"/>
  <c r="L1619" i="7" s="1"/>
  <c r="K1986" i="7"/>
  <c r="L1986" i="7" s="1"/>
  <c r="K2089" i="7"/>
  <c r="L2089" i="7" s="1"/>
  <c r="K524" i="7"/>
  <c r="L524" i="7" s="1"/>
  <c r="K814" i="7"/>
  <c r="L814" i="7" s="1"/>
  <c r="K958" i="7"/>
  <c r="L958" i="7" s="1"/>
  <c r="K1344" i="7"/>
  <c r="L1344" i="7" s="1"/>
  <c r="K1352" i="7"/>
  <c r="L1352" i="7" s="1"/>
  <c r="K1620" i="7"/>
  <c r="L1620" i="7" s="1"/>
  <c r="K1941" i="7"/>
  <c r="L1941" i="7" s="1"/>
  <c r="K2003" i="7"/>
  <c r="L2003" i="7" s="1"/>
  <c r="K2050" i="7"/>
  <c r="L2050" i="7" s="1"/>
  <c r="K815" i="7"/>
  <c r="K1087" i="7"/>
  <c r="L1087" i="7" s="1"/>
  <c r="K1345" i="7"/>
  <c r="L1345" i="7" s="1"/>
  <c r="K1460" i="7"/>
  <c r="L1460" i="7" s="1"/>
  <c r="K1484" i="7"/>
  <c r="K1611" i="7"/>
  <c r="L1611" i="7" s="1"/>
  <c r="K1621" i="7"/>
  <c r="L1621" i="7" s="1"/>
  <c r="K1942" i="7"/>
  <c r="L1942" i="7" s="1"/>
  <c r="K2019" i="7"/>
  <c r="L2019" i="7" s="1"/>
  <c r="K2051" i="7"/>
  <c r="L2051" i="7" s="1"/>
  <c r="K2091" i="7"/>
  <c r="K1088" i="7"/>
  <c r="L1088" i="7" s="1"/>
  <c r="K1346" i="7"/>
  <c r="L1346" i="7" s="1"/>
  <c r="K1354" i="7"/>
  <c r="L1354" i="7" s="1"/>
  <c r="K1461" i="7"/>
  <c r="L1461" i="7" s="1"/>
  <c r="K1957" i="7"/>
  <c r="L1957" i="7" s="1"/>
  <c r="K1997" i="7"/>
  <c r="L1997" i="7" s="1"/>
  <c r="K1089" i="7"/>
  <c r="L1089" i="7" s="1"/>
  <c r="K1470" i="7"/>
  <c r="L1470" i="7" s="1"/>
  <c r="K1613" i="7"/>
  <c r="L1613" i="7" s="1"/>
  <c r="K1650" i="7"/>
  <c r="L1650" i="7" s="1"/>
  <c r="K2037" i="7"/>
  <c r="L2037" i="7" s="1"/>
  <c r="K2053" i="7"/>
  <c r="L2053" i="7" s="1"/>
  <c r="K2014" i="7"/>
  <c r="L2014" i="7" s="1"/>
  <c r="K954" i="7"/>
  <c r="L954" i="7" s="1"/>
  <c r="K1750" i="7"/>
  <c r="L1750" i="7" s="1"/>
  <c r="K1999" i="7"/>
  <c r="L1999" i="7" s="1"/>
  <c r="K1090" i="7"/>
  <c r="L1090" i="7" s="1"/>
  <c r="K1416" i="7"/>
  <c r="L1416" i="7" s="1"/>
  <c r="A414" i="7"/>
  <c r="A407" i="7"/>
  <c r="A409" i="7"/>
  <c r="A429" i="7"/>
  <c r="K326" i="7"/>
  <c r="L326" i="7" s="1"/>
  <c r="K327" i="7"/>
  <c r="L327" i="7" s="1"/>
  <c r="K328" i="7"/>
  <c r="L328" i="7" s="1"/>
  <c r="K259" i="7"/>
  <c r="K297" i="7"/>
  <c r="K405" i="7"/>
  <c r="L405" i="7" s="1"/>
  <c r="K467" i="7"/>
  <c r="K260" i="7"/>
  <c r="L260" i="7" s="1"/>
  <c r="K1507" i="7"/>
  <c r="K807" i="7"/>
  <c r="L807" i="7" s="1"/>
  <c r="K466" i="7"/>
  <c r="K905" i="7"/>
  <c r="K1009" i="7"/>
  <c r="L1009" i="7" s="1"/>
  <c r="K1359" i="7"/>
  <c r="L1359" i="7" s="1"/>
  <c r="K1950" i="7"/>
  <c r="L1950" i="7" s="1"/>
  <c r="K1846" i="7"/>
  <c r="L1846" i="7" s="1"/>
  <c r="K1506" i="7"/>
  <c r="K906" i="7"/>
  <c r="K529" i="7"/>
  <c r="L529" i="7" s="1"/>
  <c r="K232" i="7"/>
  <c r="L232" i="7" s="1"/>
  <c r="K335" i="7"/>
  <c r="K36" i="7"/>
  <c r="K65" i="7"/>
  <c r="L65" i="7" s="1"/>
  <c r="K344" i="7"/>
  <c r="L344" i="7" s="1"/>
  <c r="K66" i="7"/>
  <c r="L66" i="7" s="1"/>
  <c r="K518" i="7"/>
  <c r="L518" i="7" s="1"/>
  <c r="K67" i="7"/>
  <c r="K307" i="7"/>
  <c r="L307" i="7" s="1"/>
  <c r="K843" i="7"/>
  <c r="K1107" i="7"/>
  <c r="L1107" i="7" s="1"/>
  <c r="K1472" i="7"/>
  <c r="L1472" i="7" s="1"/>
  <c r="K1531" i="7"/>
  <c r="L1531" i="7" s="1"/>
  <c r="K1778" i="7"/>
  <c r="L1778" i="7" s="1"/>
  <c r="K1786" i="7"/>
  <c r="L1786" i="7" s="1"/>
  <c r="K308" i="7"/>
  <c r="L308" i="7" s="1"/>
  <c r="K812" i="7"/>
  <c r="K1108" i="7"/>
  <c r="L1108" i="7" s="1"/>
  <c r="K1093" i="7"/>
  <c r="L1093" i="7" s="1"/>
  <c r="K1541" i="7"/>
  <c r="L1541" i="7" s="1"/>
  <c r="K1601" i="7"/>
  <c r="L1601" i="7" s="1"/>
  <c r="K506" i="7"/>
  <c r="L506" i="7" s="1"/>
  <c r="K647" i="7"/>
  <c r="L647" i="7" s="1"/>
  <c r="K838" i="7"/>
  <c r="L838" i="7" s="1"/>
  <c r="K1094" i="7"/>
  <c r="L1094" i="7" s="1"/>
  <c r="K1602" i="7"/>
  <c r="L1602" i="7" s="1"/>
  <c r="K1754" i="7"/>
  <c r="L1754" i="7" s="1"/>
  <c r="K2118" i="7"/>
  <c r="L2118" i="7" s="1"/>
  <c r="K1527" i="7"/>
  <c r="K1567" i="7"/>
  <c r="L1567" i="7" s="1"/>
  <c r="K2043" i="7"/>
  <c r="L2043" i="7" s="1"/>
  <c r="K2119" i="7"/>
  <c r="L2119" i="7" s="1"/>
  <c r="K2127" i="7"/>
  <c r="L2127" i="7" s="1"/>
  <c r="K528" i="7"/>
  <c r="L528" i="7" s="1"/>
  <c r="K872" i="7"/>
  <c r="L872" i="7" s="1"/>
  <c r="K1528" i="7"/>
  <c r="L1528" i="7" s="1"/>
  <c r="K1799" i="7"/>
  <c r="L1799" i="7" s="1"/>
  <c r="K1875" i="7"/>
  <c r="L1875" i="7" s="1"/>
  <c r="K2136" i="7"/>
  <c r="K514" i="7"/>
  <c r="K530" i="7"/>
  <c r="L530" i="7" s="1"/>
  <c r="K817" i="7"/>
  <c r="K881" i="7"/>
  <c r="L881" i="7" s="1"/>
  <c r="K1113" i="7"/>
  <c r="K1121" i="7"/>
  <c r="L1121" i="7" s="1"/>
  <c r="K1716" i="7"/>
  <c r="L1716" i="7" s="1"/>
  <c r="K1800" i="7"/>
  <c r="L1800" i="7" s="1"/>
  <c r="K2094" i="7"/>
  <c r="L2094" i="7" s="1"/>
  <c r="K1114" i="7"/>
  <c r="L1114" i="7" s="1"/>
  <c r="K2138" i="7"/>
  <c r="K1162" i="7"/>
  <c r="L1162" i="7" s="1"/>
  <c r="K882" i="7"/>
  <c r="L882" i="7" s="1"/>
  <c r="K499" i="7"/>
  <c r="L499" i="7" s="1"/>
  <c r="K979" i="7"/>
  <c r="L979" i="7" s="1"/>
  <c r="K1694" i="7"/>
  <c r="L1694" i="7" s="1"/>
  <c r="K980" i="7"/>
  <c r="L980" i="7" s="1"/>
  <c r="K981" i="7"/>
  <c r="L981" i="7" s="1"/>
  <c r="K1518" i="7"/>
  <c r="L1518" i="7" s="1"/>
  <c r="K831" i="7"/>
  <c r="K1519" i="7"/>
  <c r="L1519" i="7" s="1"/>
  <c r="K1520" i="7"/>
  <c r="L1520" i="7" s="1"/>
  <c r="K1145" i="7"/>
  <c r="L1145" i="7" s="1"/>
  <c r="K1177" i="7"/>
  <c r="L1177" i="7" s="1"/>
  <c r="K1146" i="7"/>
  <c r="L1146" i="7" s="1"/>
  <c r="L812" i="7" l="1"/>
  <c r="L1874" i="7"/>
  <c r="L54" i="7"/>
  <c r="L484" i="7"/>
  <c r="L1457" i="7"/>
  <c r="L1719" i="7"/>
  <c r="L745" i="7"/>
  <c r="L749" i="7"/>
  <c r="L212" i="7"/>
  <c r="L1376" i="7"/>
  <c r="L1391" i="7"/>
  <c r="L1209" i="7"/>
  <c r="L1373" i="7"/>
  <c r="L1288" i="7"/>
  <c r="L2097" i="7"/>
  <c r="L25" i="7"/>
  <c r="L1326" i="7"/>
  <c r="L420" i="7"/>
  <c r="L2124" i="7"/>
  <c r="L817" i="7"/>
  <c r="L1527" i="7"/>
  <c r="L466" i="7"/>
  <c r="L467" i="7"/>
  <c r="L2091" i="7"/>
  <c r="L233" i="7"/>
  <c r="L179" i="7"/>
  <c r="L2137" i="7"/>
  <c r="L90" i="7"/>
  <c r="L919" i="7"/>
  <c r="L1477" i="7"/>
  <c r="L2047" i="7"/>
  <c r="L2173" i="7"/>
  <c r="L381" i="7"/>
  <c r="L1860" i="7"/>
  <c r="L2134" i="7"/>
  <c r="L436" i="7"/>
  <c r="L1804" i="7"/>
  <c r="A373" i="7"/>
  <c r="L335" i="7"/>
  <c r="L1594" i="7"/>
  <c r="L372" i="7"/>
  <c r="L993" i="7"/>
  <c r="L2048" i="7"/>
  <c r="L118" i="7"/>
  <c r="L117" i="7"/>
  <c r="L1546" i="7"/>
  <c r="L1136" i="7"/>
  <c r="L1481" i="7"/>
  <c r="L1274" i="7"/>
  <c r="L1312" i="7"/>
  <c r="L973" i="7"/>
  <c r="L748" i="7"/>
  <c r="L1375" i="7"/>
  <c r="L1374" i="7"/>
  <c r="L1828" i="7"/>
  <c r="L884" i="7"/>
  <c r="L1377" i="7"/>
  <c r="L228" i="7"/>
  <c r="L818" i="7"/>
  <c r="L1788" i="7"/>
  <c r="L2140" i="7"/>
  <c r="L2179" i="7"/>
  <c r="L1191" i="7"/>
  <c r="L142" i="7"/>
  <c r="L831" i="7"/>
  <c r="L514" i="7"/>
  <c r="L1506" i="7"/>
  <c r="L815" i="7"/>
  <c r="L240" i="7"/>
  <c r="L744" i="7"/>
  <c r="L113" i="7"/>
  <c r="L120" i="7"/>
  <c r="L110" i="7"/>
  <c r="L231" i="7"/>
  <c r="L1895" i="7"/>
  <c r="L921" i="7"/>
  <c r="L437" i="7"/>
  <c r="L1896" i="7"/>
  <c r="L783" i="7"/>
  <c r="L1280" i="7"/>
  <c r="L221" i="7"/>
  <c r="L962" i="7"/>
  <c r="L1105" i="7"/>
  <c r="L965" i="7"/>
  <c r="L468" i="7"/>
  <c r="L48" i="7"/>
  <c r="L1479" i="7"/>
  <c r="L1170" i="7"/>
  <c r="L2182" i="7"/>
  <c r="L259" i="7"/>
  <c r="L137" i="7"/>
  <c r="L1458" i="7"/>
  <c r="L1891" i="7"/>
  <c r="L394" i="7"/>
  <c r="L816" i="7"/>
  <c r="L1502" i="7"/>
  <c r="L91" i="7"/>
  <c r="L26" i="7"/>
  <c r="L1462" i="7"/>
  <c r="L1295" i="7"/>
  <c r="L86" i="7"/>
  <c r="L239" i="7"/>
  <c r="L1689" i="7"/>
  <c r="L24" i="7"/>
  <c r="L1112" i="7"/>
  <c r="L122" i="7"/>
  <c r="L605" i="7"/>
  <c r="L115" i="7"/>
  <c r="L1453" i="7"/>
  <c r="L1526" i="7"/>
  <c r="L2136" i="7"/>
  <c r="L1507" i="7"/>
  <c r="L17" i="7"/>
  <c r="L941" i="7"/>
  <c r="L1265" i="7"/>
  <c r="L2005" i="7"/>
  <c r="L1753" i="7"/>
  <c r="L782" i="7"/>
  <c r="L811" i="7"/>
  <c r="L223" i="7"/>
  <c r="L1403" i="7"/>
  <c r="L1293" i="7"/>
  <c r="L431" i="7"/>
  <c r="L41" i="7"/>
  <c r="L2045" i="7"/>
  <c r="L1171" i="7"/>
  <c r="L145" i="7"/>
  <c r="L1252" i="7"/>
  <c r="A891" i="7"/>
  <c r="L2138" i="7"/>
  <c r="L1113" i="7"/>
  <c r="L1484" i="7"/>
  <c r="L813" i="7"/>
  <c r="L977" i="7"/>
  <c r="L143" i="7"/>
  <c r="L1482" i="7"/>
  <c r="L1328" i="7"/>
  <c r="L1793" i="7"/>
  <c r="L469" i="7"/>
  <c r="L367" i="7"/>
  <c r="L2178" i="7"/>
  <c r="L854" i="7"/>
  <c r="A262" i="7"/>
  <c r="A341" i="7"/>
  <c r="A411" i="7"/>
  <c r="A345" i="7"/>
  <c r="A371" i="7"/>
  <c r="A311" i="7"/>
  <c r="A342" i="7"/>
  <c r="A338" i="7"/>
  <c r="A421" i="7"/>
  <c r="A346" i="7"/>
  <c r="A379" i="7"/>
  <c r="A510" i="7"/>
  <c r="A130" i="7"/>
  <c r="A353" i="7"/>
  <c r="A108" i="7"/>
  <c r="A21" i="7"/>
  <c r="A1155" i="7"/>
  <c r="A1253" i="7"/>
  <c r="A2115" i="7"/>
  <c r="A1495" i="7"/>
  <c r="A1494" i="7"/>
  <c r="A1838" i="7"/>
  <c r="A2185" i="7"/>
  <c r="A844" i="7"/>
  <c r="A576" i="7"/>
  <c r="A995" i="7"/>
  <c r="A791" i="7"/>
  <c r="A902" i="7"/>
  <c r="A866" i="7"/>
  <c r="A1595" i="7"/>
  <c r="A2027" i="7"/>
  <c r="A2012" i="7"/>
  <c r="A1808" i="7"/>
  <c r="A1721" i="7"/>
  <c r="A1746" i="7"/>
  <c r="A1337" i="7"/>
  <c r="A1877" i="7"/>
  <c r="A885" i="7"/>
  <c r="A1499" i="7"/>
  <c r="A1727" i="7"/>
  <c r="A1408" i="7"/>
  <c r="A1383" i="7"/>
  <c r="A491" i="7"/>
  <c r="A1111" i="7"/>
  <c r="A1071" i="7"/>
  <c r="A1805" i="7"/>
  <c r="A1525" i="7"/>
  <c r="A825" i="7"/>
  <c r="A1012" i="7"/>
  <c r="A1381" i="7"/>
  <c r="A1740" i="7"/>
  <c r="A649" i="7"/>
  <c r="A1074" i="7"/>
  <c r="A1815" i="7"/>
  <c r="A1894" i="7"/>
  <c r="A1827" i="7"/>
  <c r="A1813" i="7"/>
  <c r="A2165" i="7"/>
  <c r="A1045" i="7"/>
  <c r="A1133" i="7"/>
  <c r="A922" i="7"/>
  <c r="A1523" i="7"/>
  <c r="A1807" i="7"/>
  <c r="A1810" i="7"/>
  <c r="A1558" i="7"/>
  <c r="A2182" i="7"/>
  <c r="A1554" i="7"/>
  <c r="A1376" i="7"/>
  <c r="A1751" i="7"/>
  <c r="A904" i="7"/>
  <c r="A1397" i="7"/>
  <c r="A1878" i="7"/>
  <c r="A749" i="7"/>
  <c r="A1019" i="7"/>
  <c r="A1382" i="7"/>
  <c r="A1724" i="7"/>
  <c r="A1745" i="7"/>
  <c r="A1270" i="7"/>
  <c r="A898" i="7"/>
  <c r="A1081" i="7"/>
  <c r="A834" i="7"/>
  <c r="A1769" i="7"/>
  <c r="A1839" i="7"/>
  <c r="A1960" i="7"/>
  <c r="A1004" i="7"/>
  <c r="A2058" i="7"/>
  <c r="A1343" i="7"/>
  <c r="A1385" i="7"/>
  <c r="A883" i="7"/>
  <c r="A1802" i="7"/>
  <c r="A2183" i="7"/>
  <c r="A667" i="7"/>
  <c r="A2152" i="7"/>
  <c r="A886" i="7"/>
  <c r="A2011" i="7"/>
  <c r="A826" i="7"/>
  <c r="A884" i="7"/>
  <c r="A1138" i="7"/>
  <c r="A536" i="7"/>
  <c r="A1454" i="7"/>
  <c r="A2041" i="7"/>
  <c r="A1423" i="7"/>
  <c r="A859" i="7"/>
  <c r="A857" i="7"/>
  <c r="A1663" i="7"/>
  <c r="A1426" i="7"/>
  <c r="A2099" i="7"/>
  <c r="A1728" i="7"/>
  <c r="A2168" i="7"/>
  <c r="A2164" i="7"/>
  <c r="A1452" i="7"/>
  <c r="A490" i="7"/>
  <c r="A1406" i="7"/>
  <c r="A871" i="7"/>
  <c r="A890" i="7"/>
  <c r="A2114" i="7"/>
  <c r="A1354" i="7"/>
  <c r="A637" i="7"/>
  <c r="A1073" i="7"/>
  <c r="A894" i="7"/>
  <c r="A861" i="7"/>
  <c r="A1837" i="7"/>
  <c r="A1303" i="7"/>
  <c r="A895" i="7"/>
  <c r="A2039" i="7"/>
  <c r="A1292" i="7"/>
  <c r="A978" i="7"/>
  <c r="A1296" i="7"/>
  <c r="A1500" i="7"/>
  <c r="A2122" i="7"/>
  <c r="A588" i="7"/>
  <c r="A751" i="7"/>
  <c r="A1666" i="7"/>
  <c r="A748" i="7"/>
  <c r="A1725" i="7"/>
  <c r="A1555" i="7"/>
  <c r="A773" i="7"/>
  <c r="A1164" i="7"/>
  <c r="A852" i="7"/>
  <c r="A1165" i="7"/>
  <c r="A1475" i="7"/>
  <c r="A2021" i="7"/>
  <c r="A1327" i="7"/>
  <c r="A915" i="7"/>
  <c r="A1075" i="7"/>
  <c r="A874" i="7"/>
  <c r="A1526" i="7"/>
  <c r="A585" i="7"/>
  <c r="A1156" i="7"/>
  <c r="A822" i="7"/>
  <c r="A779" i="7"/>
  <c r="A1007" i="7"/>
  <c r="A589" i="7"/>
  <c r="A900" i="7"/>
  <c r="A897" i="7"/>
  <c r="A829" i="7"/>
  <c r="A828" i="7"/>
  <c r="A1829" i="7"/>
  <c r="A1701" i="7"/>
  <c r="A863" i="7"/>
  <c r="A1350" i="7"/>
  <c r="A1538" i="7"/>
  <c r="A1537" i="7"/>
  <c r="A1184" i="7"/>
  <c r="A1139" i="7"/>
  <c r="A893" i="7"/>
  <c r="A2123" i="7"/>
  <c r="A2184" i="7"/>
  <c r="A2038" i="7"/>
  <c r="A1816" i="7"/>
  <c r="A571" i="7"/>
  <c r="A1150" i="7"/>
  <c r="A1422" i="7"/>
  <c r="A1524" i="7"/>
  <c r="A856" i="7"/>
  <c r="A1841" i="7"/>
  <c r="A1018" i="7"/>
  <c r="A1722" i="7"/>
  <c r="A823" i="7"/>
  <c r="A929" i="7"/>
  <c r="A849" i="7"/>
  <c r="A865" i="7"/>
  <c r="A1079" i="7"/>
  <c r="A833" i="7"/>
  <c r="A2028" i="7"/>
  <c r="A1748" i="7"/>
  <c r="A889" i="7"/>
  <c r="A1243" i="7"/>
  <c r="A1844" i="7"/>
  <c r="A923" i="7"/>
  <c r="A873" i="7"/>
  <c r="A868" i="7"/>
  <c r="A1137" i="7"/>
  <c r="A887" i="7"/>
  <c r="A851" i="7"/>
  <c r="A816" i="7"/>
  <c r="A914" i="7"/>
  <c r="A1037" i="7"/>
  <c r="A1871" i="7"/>
  <c r="A559" i="7"/>
  <c r="A1134" i="7"/>
  <c r="A1501" i="7"/>
  <c r="A1852" i="7"/>
  <c r="A1723" i="7"/>
  <c r="A750" i="7"/>
  <c r="A1271" i="7"/>
  <c r="A899" i="7"/>
  <c r="A1940" i="7"/>
  <c r="A854" i="7"/>
  <c r="A1424" i="7"/>
  <c r="A1427" i="7"/>
  <c r="A1863" i="7"/>
  <c r="A876" i="7"/>
  <c r="A2020" i="7"/>
  <c r="A1612" i="7"/>
  <c r="A997" i="7"/>
  <c r="A1367" i="7"/>
  <c r="A1083" i="7"/>
  <c r="A12" i="7"/>
  <c r="A907" i="7"/>
  <c r="A1667" i="7"/>
  <c r="A881" i="7"/>
  <c r="A872" i="7"/>
  <c r="A236" i="7"/>
  <c r="L843" i="7"/>
  <c r="A843" i="7"/>
  <c r="L261" i="7"/>
  <c r="A261" i="7"/>
  <c r="A938" i="7"/>
  <c r="L892" i="7"/>
  <c r="A892" i="7"/>
  <c r="A1011" i="7"/>
  <c r="A839" i="7"/>
  <c r="A2167" i="7"/>
  <c r="L786" i="7"/>
  <c r="A786" i="7"/>
  <c r="L801" i="7"/>
  <c r="A801" i="7"/>
  <c r="L784" i="7"/>
  <c r="A784" i="7"/>
  <c r="A452" i="7"/>
  <c r="A814" i="7"/>
  <c r="A832" i="7"/>
  <c r="A1477" i="7"/>
  <c r="A1762" i="7"/>
  <c r="A1390" i="7"/>
  <c r="A186" i="7"/>
  <c r="A666" i="7"/>
  <c r="A17" i="7"/>
  <c r="A936" i="7"/>
  <c r="A838" i="7"/>
  <c r="A1288" i="7"/>
  <c r="A1038" i="7"/>
  <c r="L906" i="7"/>
  <c r="A906" i="7"/>
  <c r="L905" i="7"/>
  <c r="A905" i="7"/>
  <c r="L1843" i="7"/>
  <c r="A1843" i="7"/>
  <c r="A107" i="7"/>
  <c r="L860" i="7"/>
  <c r="A860" i="7"/>
  <c r="L1992" i="7"/>
  <c r="A1992" i="7"/>
  <c r="L1287" i="7"/>
  <c r="A1287" i="7"/>
  <c r="A815" i="7"/>
  <c r="A835" i="7"/>
  <c r="A1346" i="7"/>
  <c r="A1766" i="7"/>
  <c r="L434" i="7"/>
  <c r="A434" i="7"/>
  <c r="A827" i="7"/>
  <c r="A1886" i="7"/>
  <c r="L819" i="7"/>
  <c r="A819" i="7"/>
  <c r="A1048" i="7"/>
  <c r="A1720" i="7"/>
  <c r="A842" i="7"/>
  <c r="L901" i="7"/>
  <c r="A901" i="7"/>
  <c r="A636" i="7"/>
  <c r="A1926" i="7"/>
  <c r="A847" i="7"/>
  <c r="A1757" i="7"/>
  <c r="A1401" i="7"/>
  <c r="A817" i="7"/>
  <c r="A406" i="7"/>
  <c r="A2054" i="7"/>
  <c r="A137" i="7"/>
  <c r="A840" i="7"/>
  <c r="A1774" i="7"/>
  <c r="L685" i="7"/>
  <c r="A685" i="7"/>
  <c r="L903" i="7"/>
  <c r="A903" i="7"/>
  <c r="A2053" i="7"/>
  <c r="A384" i="7"/>
  <c r="A798" i="7"/>
  <c r="L687" i="7"/>
  <c r="A687" i="7"/>
  <c r="L237" i="7"/>
  <c r="A237" i="7"/>
  <c r="A372" i="7"/>
  <c r="A455" i="7"/>
  <c r="A850" i="7"/>
  <c r="A877" i="7"/>
  <c r="A1644" i="7"/>
  <c r="A909" i="7"/>
  <c r="A1331" i="7"/>
  <c r="A1467" i="7"/>
  <c r="A2158" i="7"/>
  <c r="L413" i="7"/>
  <c r="A413" i="7"/>
  <c r="A1783" i="7"/>
  <c r="A1618" i="7"/>
  <c r="A1030" i="7"/>
  <c r="A29" i="7"/>
  <c r="A1846" i="7"/>
  <c r="A2049" i="7"/>
  <c r="A1752" i="7"/>
  <c r="A18" i="7"/>
  <c r="A461" i="7"/>
  <c r="A24" i="7"/>
  <c r="A1594" i="7"/>
  <c r="A2174" i="7"/>
  <c r="A821" i="7"/>
  <c r="A1353" i="7"/>
  <c r="L841" i="7"/>
  <c r="A841" i="7"/>
  <c r="A1047" i="7"/>
  <c r="A820" i="7"/>
  <c r="L2181" i="7"/>
  <c r="A2181" i="7"/>
  <c r="L399" i="7"/>
  <c r="A399" i="7"/>
  <c r="L1550" i="7"/>
  <c r="A1550" i="7"/>
  <c r="A1328" i="7"/>
  <c r="L297" i="7"/>
  <c r="A297" i="7"/>
  <c r="L606" i="7"/>
  <c r="A606" i="7"/>
  <c r="L1536" i="7"/>
  <c r="A1536" i="7"/>
  <c r="A1831" i="7"/>
  <c r="A882" i="7"/>
  <c r="L712" i="7"/>
  <c r="A712" i="7"/>
  <c r="A511" i="7"/>
  <c r="A878" i="7"/>
  <c r="A954" i="7"/>
  <c r="A1332" i="7"/>
  <c r="A2157" i="7"/>
  <c r="A1753" i="7"/>
  <c r="A1617" i="7"/>
  <c r="A298" i="7"/>
  <c r="A650" i="7"/>
  <c r="A1665" i="7"/>
  <c r="A1895" i="7"/>
  <c r="A1042" i="7"/>
  <c r="A1304" i="7"/>
  <c r="A1476" i="7"/>
  <c r="A1662" i="7"/>
  <c r="A1758" i="7"/>
  <c r="A605" i="7"/>
  <c r="A932" i="7"/>
  <c r="A862" i="7"/>
  <c r="A848" i="7"/>
  <c r="A870" i="7"/>
  <c r="A1799" i="7"/>
  <c r="L1664" i="7"/>
  <c r="A1664" i="7"/>
  <c r="A1800" i="7"/>
  <c r="L397" i="7"/>
  <c r="A397" i="7"/>
  <c r="A22" i="7"/>
  <c r="A1458" i="7"/>
  <c r="A660" i="7"/>
  <c r="A824" i="7"/>
  <c r="L1070" i="7"/>
  <c r="A1070" i="7"/>
  <c r="A947" i="7"/>
  <c r="L790" i="7"/>
  <c r="A790" i="7"/>
  <c r="L686" i="7"/>
  <c r="A686" i="7"/>
  <c r="A1908" i="7"/>
  <c r="L1396" i="7"/>
  <c r="A1396" i="7"/>
  <c r="A1842" i="7"/>
  <c r="A370" i="7"/>
  <c r="A813" i="7"/>
  <c r="A1333" i="7"/>
  <c r="A1490" i="7"/>
  <c r="A1911" i="7"/>
  <c r="A2153" i="7"/>
  <c r="L867" i="7"/>
  <c r="A867" i="7"/>
  <c r="A1280" i="7"/>
  <c r="A937" i="7"/>
  <c r="A1312" i="7"/>
  <c r="A1028" i="7"/>
  <c r="A2138" i="7"/>
  <c r="A117" i="7"/>
  <c r="L398" i="7"/>
  <c r="A398" i="7"/>
  <c r="A924" i="7"/>
  <c r="L688" i="7"/>
  <c r="A688" i="7"/>
  <c r="L836" i="7"/>
  <c r="A836" i="7"/>
  <c r="L63" i="7"/>
  <c r="A63" i="7"/>
  <c r="L185" i="7"/>
  <c r="A185" i="7"/>
  <c r="A831" i="7"/>
  <c r="A970" i="7"/>
  <c r="A1242" i="7"/>
  <c r="L837" i="7"/>
  <c r="A837" i="7"/>
  <c r="A1375" i="7"/>
  <c r="L845" i="7"/>
  <c r="A845" i="7"/>
  <c r="A1641" i="7"/>
  <c r="L853" i="7"/>
  <c r="A853" i="7"/>
  <c r="L22" i="7"/>
  <c r="L60" i="7"/>
  <c r="L443" i="7"/>
  <c r="L454" i="7"/>
  <c r="L205" i="7"/>
  <c r="L20" i="7"/>
  <c r="L275" i="7"/>
  <c r="L67" i="7"/>
  <c r="L27" i="7"/>
  <c r="L417" i="7"/>
  <c r="L219" i="7"/>
  <c r="L217" i="7"/>
  <c r="L42" i="7"/>
  <c r="L334" i="7"/>
  <c r="L279" i="7"/>
  <c r="L39" i="7"/>
  <c r="L34" i="7"/>
  <c r="L82" i="7"/>
  <c r="L340" i="7"/>
  <c r="L12" i="7"/>
  <c r="L35" i="7"/>
  <c r="L87" i="7"/>
  <c r="L36" i="7"/>
  <c r="L332" i="7"/>
  <c r="L426" i="7"/>
  <c r="L28" i="7"/>
  <c r="L442" i="7"/>
  <c r="L336" i="7"/>
  <c r="L207" i="7"/>
  <c r="L427" i="7"/>
  <c r="L201" i="7"/>
  <c r="L206" i="7"/>
  <c r="L278" i="7"/>
  <c r="L40" i="7"/>
  <c r="L78" i="7"/>
  <c r="L38" i="7"/>
  <c r="L61" i="7"/>
  <c r="L428" i="7"/>
  <c r="L485" i="7"/>
  <c r="L11" i="7"/>
  <c r="L13" i="7"/>
  <c r="L269" i="7"/>
  <c r="L338" i="7"/>
  <c r="L353" i="7"/>
  <c r="L30" i="7"/>
  <c r="L23" i="7"/>
  <c r="L160" i="7"/>
  <c r="L474" i="7"/>
  <c r="L74" i="7"/>
  <c r="L37" i="7"/>
  <c r="L10" i="7"/>
  <c r="L204" i="7"/>
  <c r="L50" i="7"/>
  <c r="L333" i="7"/>
  <c r="L2001" i="7"/>
  <c r="L1588" i="7"/>
  <c r="L1215" i="7"/>
  <c r="L777" i="7"/>
  <c r="L542" i="7"/>
  <c r="L171" i="7"/>
  <c r="L1971" i="7"/>
  <c r="L1587" i="7"/>
  <c r="L1189" i="7"/>
  <c r="L768" i="7"/>
  <c r="L284" i="7"/>
  <c r="L47" i="7"/>
  <c r="L2065" i="7"/>
  <c r="L1893" i="7"/>
  <c r="L1445" i="7"/>
  <c r="L918" i="7"/>
  <c r="L550" i="7"/>
  <c r="L203" i="7"/>
  <c r="L2027" i="7"/>
  <c r="L1827" i="7"/>
  <c r="L1444" i="7"/>
  <c r="L1015" i="7"/>
  <c r="L1358" i="7"/>
  <c r="L495" i="7"/>
  <c r="L168" i="7"/>
  <c r="L2063" i="7"/>
  <c r="L1917" i="7"/>
  <c r="L1657" i="7"/>
  <c r="L1061" i="7"/>
  <c r="L603" i="7"/>
  <c r="L374" i="7"/>
  <c r="L2161" i="7"/>
  <c r="L1975" i="7"/>
  <c r="L1704" i="7"/>
  <c r="L1243" i="7"/>
  <c r="L940" i="7"/>
  <c r="L655" i="7"/>
  <c r="L290" i="7"/>
  <c r="L2004" i="7"/>
  <c r="L1736" i="7"/>
  <c r="L1368" i="7"/>
  <c r="L935" i="7"/>
  <c r="L639" i="7"/>
  <c r="L195" i="7"/>
  <c r="L2009" i="7"/>
  <c r="L1710" i="7"/>
  <c r="L1367" i="7"/>
  <c r="L1019" i="7"/>
  <c r="L770" i="7"/>
  <c r="L358" i="7"/>
  <c r="L52" i="7"/>
  <c r="L1173" i="7"/>
  <c r="L756" i="7"/>
  <c r="L755" i="7"/>
  <c r="L1004" i="7"/>
  <c r="L1003" i="7"/>
  <c r="L1712" i="7"/>
  <c r="L1940" i="7"/>
  <c r="L1578" i="7"/>
  <c r="L1018" i="7"/>
  <c r="L769" i="7"/>
  <c r="L470" i="7"/>
  <c r="L159" i="7"/>
  <c r="L2168" i="7"/>
  <c r="L1963" i="7"/>
  <c r="L1577" i="7"/>
  <c r="L1169" i="7"/>
  <c r="L632" i="7"/>
  <c r="L262" i="7"/>
  <c r="L2028" i="7"/>
  <c r="L1856" i="7"/>
  <c r="L1429" i="7"/>
  <c r="L910" i="7"/>
  <c r="L496" i="7"/>
  <c r="L182" i="7"/>
  <c r="L2113" i="7"/>
  <c r="L2018" i="7"/>
  <c r="L1739" i="7"/>
  <c r="L1428" i="7"/>
  <c r="L917" i="7"/>
  <c r="L642" i="7"/>
  <c r="L400" i="7"/>
  <c r="L156" i="7"/>
  <c r="L2041" i="7"/>
  <c r="L1903" i="7"/>
  <c r="L1584" i="7"/>
  <c r="L1014" i="7"/>
  <c r="L589" i="7"/>
  <c r="L361" i="7"/>
  <c r="L2080" i="7"/>
  <c r="L1967" i="7"/>
  <c r="L1696" i="7"/>
  <c r="L1226" i="7"/>
  <c r="L899" i="7"/>
  <c r="L626" i="7"/>
  <c r="L196" i="7"/>
  <c r="L2177" i="7"/>
  <c r="L1982" i="7"/>
  <c r="L1711" i="7"/>
  <c r="L1489" i="7"/>
  <c r="L914" i="7"/>
  <c r="L587" i="7"/>
  <c r="L163" i="7"/>
  <c r="L2176" i="7"/>
  <c r="L1981" i="7"/>
  <c r="L1702" i="7"/>
  <c r="L1338" i="7"/>
  <c r="L997" i="7"/>
  <c r="L738" i="7"/>
  <c r="L300" i="7"/>
  <c r="L4" i="7"/>
  <c r="L1075" i="7"/>
  <c r="L571" i="7"/>
  <c r="L355" i="7"/>
  <c r="L950" i="7"/>
  <c r="L916" i="7"/>
  <c r="L1409" i="7"/>
  <c r="L2102" i="7"/>
  <c r="L2059" i="7"/>
  <c r="L1897" i="7"/>
  <c r="L1554" i="7"/>
  <c r="L996" i="7"/>
  <c r="L633" i="7"/>
  <c r="L448" i="7"/>
  <c r="L131" i="7"/>
  <c r="L2084" i="7"/>
  <c r="L1894" i="7"/>
  <c r="L1446" i="7"/>
  <c r="L1017" i="7"/>
  <c r="L584" i="7"/>
  <c r="L209" i="7"/>
  <c r="L2020" i="7"/>
  <c r="L1740" i="7"/>
  <c r="L1364" i="7"/>
  <c r="L875" i="7"/>
  <c r="L476" i="7"/>
  <c r="L157" i="7"/>
  <c r="L2190" i="7"/>
  <c r="L486" i="7"/>
  <c r="L1730" i="7"/>
  <c r="L1363" i="7"/>
  <c r="L887" i="7"/>
  <c r="L628" i="7"/>
  <c r="L376" i="7"/>
  <c r="L97" i="7"/>
  <c r="L2026" i="7"/>
  <c r="L1847" i="7"/>
  <c r="L1523" i="7"/>
  <c r="L976" i="7"/>
  <c r="L1943" i="7"/>
  <c r="L291" i="7"/>
  <c r="L2070" i="7"/>
  <c r="L1959" i="7"/>
  <c r="L1656" i="7"/>
  <c r="L1218" i="7"/>
  <c r="L885" i="7"/>
  <c r="L600" i="7"/>
  <c r="L176" i="7"/>
  <c r="L2154" i="7"/>
  <c r="L1974" i="7"/>
  <c r="L1703" i="7"/>
  <c r="L1225" i="7"/>
  <c r="L869" i="7"/>
  <c r="L556" i="7"/>
  <c r="L153" i="7"/>
  <c r="L2101" i="7"/>
  <c r="L1973" i="7"/>
  <c r="L1674" i="7"/>
  <c r="L1255" i="7"/>
  <c r="L913" i="7"/>
  <c r="L635" i="7"/>
  <c r="L215" i="7"/>
  <c r="L356" i="7"/>
  <c r="L320" i="7"/>
  <c r="L354" i="7"/>
  <c r="L823" i="7"/>
  <c r="L1057" i="7"/>
  <c r="L1839" i="7"/>
  <c r="L1735" i="7"/>
  <c r="L2008" i="7"/>
  <c r="L1761" i="7"/>
  <c r="L931" i="7"/>
  <c r="L1944" i="7"/>
  <c r="L380" i="7"/>
  <c r="L51" i="7"/>
  <c r="L2066" i="7"/>
  <c r="L1732" i="7"/>
  <c r="L1430" i="7"/>
  <c r="L911" i="7"/>
  <c r="L551" i="7"/>
  <c r="L191" i="7"/>
  <c r="L2006" i="7"/>
  <c r="L1731" i="7"/>
  <c r="L1229" i="7"/>
  <c r="L826" i="7"/>
  <c r="L401" i="7"/>
  <c r="L98" i="7"/>
  <c r="L2106" i="7"/>
  <c r="L1977" i="7"/>
  <c r="L1706" i="7"/>
  <c r="L1228" i="7"/>
  <c r="L825" i="7"/>
  <c r="L604" i="7"/>
  <c r="L362" i="7"/>
  <c r="L45" i="7"/>
  <c r="L1672" i="7"/>
  <c r="L1738" i="7"/>
  <c r="L1443" i="7"/>
  <c r="L900" i="7"/>
  <c r="L558" i="7"/>
  <c r="L242" i="7"/>
  <c r="L2062" i="7"/>
  <c r="L1915" i="7"/>
  <c r="L1583" i="7"/>
  <c r="L1185" i="7"/>
  <c r="L871" i="7"/>
  <c r="L588" i="7"/>
  <c r="L164" i="7"/>
  <c r="L2116" i="7"/>
  <c r="L1966" i="7"/>
  <c r="L1695" i="7"/>
  <c r="L1217" i="7"/>
  <c r="L805" i="7"/>
  <c r="L389" i="7"/>
  <c r="L53" i="7"/>
  <c r="L2086" i="7"/>
  <c r="L1965" i="7"/>
  <c r="L1589" i="7"/>
  <c r="L1232" i="7"/>
  <c r="L891" i="7"/>
  <c r="L597" i="7"/>
  <c r="L194" i="7"/>
  <c r="L170" i="7"/>
  <c r="L169" i="7"/>
  <c r="L773" i="7"/>
  <c r="L1002" i="7"/>
  <c r="L1726" i="7"/>
  <c r="L1432" i="7"/>
  <c r="L1826" i="7"/>
  <c r="L2067" i="7"/>
  <c r="L1964" i="7"/>
  <c r="L2150" i="7"/>
  <c r="L2022" i="7"/>
  <c r="L1431" i="7"/>
  <c r="L912" i="7"/>
  <c r="L595" i="7"/>
  <c r="L287" i="7"/>
  <c r="L2029" i="7"/>
  <c r="L1708" i="7"/>
  <c r="L1422" i="7"/>
  <c r="L889" i="7"/>
  <c r="L462" i="7"/>
  <c r="L158" i="7"/>
  <c r="L1978" i="7"/>
  <c r="L1707" i="7"/>
  <c r="L1221" i="7"/>
  <c r="L775" i="7"/>
  <c r="L377" i="7"/>
  <c r="L46" i="7"/>
  <c r="L2092" i="7"/>
  <c r="L1969" i="7"/>
  <c r="L1698" i="7"/>
  <c r="L1220" i="7"/>
  <c r="L788" i="7"/>
  <c r="L590" i="7"/>
  <c r="L292" i="7"/>
  <c r="L1976" i="7"/>
  <c r="L1729" i="7"/>
  <c r="L1427" i="7"/>
  <c r="L886" i="7"/>
  <c r="L548" i="7"/>
  <c r="L177" i="7"/>
  <c r="L2033" i="7"/>
  <c r="L1902" i="7"/>
  <c r="L1522" i="7"/>
  <c r="L1133" i="7"/>
  <c r="L806" i="7"/>
  <c r="L95" i="7"/>
  <c r="L2069" i="7"/>
  <c r="L1958" i="7"/>
  <c r="L1556" i="7"/>
  <c r="L1184" i="7"/>
  <c r="L779" i="7"/>
  <c r="L369" i="7"/>
  <c r="L2068" i="7"/>
  <c r="L1931" i="7"/>
  <c r="L1555" i="7"/>
  <c r="L1224" i="7"/>
  <c r="L880" i="7"/>
  <c r="L586" i="7"/>
  <c r="L172" i="7"/>
  <c r="L2095" i="7"/>
  <c r="L1985" i="7"/>
  <c r="L657" i="7"/>
  <c r="L772" i="7"/>
  <c r="L1433" i="7"/>
  <c r="L1424" i="7"/>
  <c r="L2175" i="7"/>
  <c r="L1972" i="7"/>
  <c r="L1930" i="7"/>
  <c r="L2085" i="7"/>
  <c r="L1709" i="7"/>
  <c r="L1366" i="7"/>
  <c r="L890" i="7"/>
  <c r="L585" i="7"/>
  <c r="L264" i="7"/>
  <c r="L324" i="7"/>
  <c r="L2021" i="7"/>
  <c r="L1700" i="7"/>
  <c r="L1365" i="7"/>
  <c r="L876" i="7"/>
  <c r="L447" i="7"/>
  <c r="L129" i="7"/>
  <c r="L1970" i="7"/>
  <c r="L1699" i="7"/>
  <c r="L1168" i="7"/>
  <c r="L767" i="7"/>
  <c r="L363" i="7"/>
  <c r="L607" i="7"/>
  <c r="L2082" i="7"/>
  <c r="L1961" i="7"/>
  <c r="L1658" i="7"/>
  <c r="L1187" i="7"/>
  <c r="L774" i="7"/>
  <c r="L582" i="7"/>
  <c r="L243" i="7"/>
  <c r="L1968" i="7"/>
  <c r="L1705" i="7"/>
  <c r="L1227" i="7"/>
  <c r="L492" i="7"/>
  <c r="L139" i="7"/>
  <c r="L2025" i="7"/>
  <c r="L1775" i="7"/>
  <c r="L1442" i="7"/>
  <c r="L1081" i="7"/>
  <c r="L780" i="7"/>
  <c r="L424" i="7"/>
  <c r="L55" i="7"/>
  <c r="L2061" i="7"/>
  <c r="L1900" i="7"/>
  <c r="L1521" i="7"/>
  <c r="L1020" i="7"/>
  <c r="L771" i="7"/>
  <c r="L359" i="7"/>
  <c r="L2060" i="7"/>
  <c r="L1845" i="7"/>
  <c r="L1517" i="7"/>
  <c r="L1216" i="7"/>
  <c r="L866" i="7"/>
  <c r="L577" i="7"/>
  <c r="L162" i="7"/>
  <c r="L2076" i="7"/>
  <c r="L1829" i="7"/>
  <c r="L2055" i="7"/>
  <c r="L1749" i="7"/>
  <c r="L545" i="7"/>
  <c r="L653" i="7"/>
  <c r="L543" i="7"/>
  <c r="L1980" i="7"/>
  <c r="L2030" i="7"/>
  <c r="L1701" i="7"/>
  <c r="L1231" i="7"/>
  <c r="L879" i="7"/>
  <c r="L573" i="7"/>
  <c r="L214" i="7"/>
  <c r="L2007" i="7"/>
  <c r="L198" i="7"/>
  <c r="L1230" i="7"/>
  <c r="L795" i="7"/>
  <c r="L364" i="7"/>
  <c r="L99" i="7"/>
  <c r="L2083" i="7"/>
  <c r="L1962" i="7"/>
  <c r="L1605" i="7"/>
  <c r="L1063" i="7"/>
  <c r="L583" i="7"/>
  <c r="L293" i="7"/>
  <c r="L2072" i="7"/>
  <c r="L658" i="7"/>
  <c r="L1626" i="7"/>
  <c r="L1144" i="7"/>
  <c r="L766" i="7"/>
  <c r="L559" i="7"/>
  <c r="L199" i="7"/>
  <c r="L2081" i="7"/>
  <c r="L1960" i="7"/>
  <c r="L1697" i="7"/>
  <c r="L1219" i="7"/>
  <c r="L765" i="7"/>
  <c r="L453" i="7"/>
  <c r="L96" i="7"/>
  <c r="L472" i="7"/>
  <c r="L1737" i="7"/>
  <c r="L1435" i="7"/>
  <c r="L1013" i="7"/>
  <c r="L764" i="7"/>
  <c r="L373" i="7"/>
  <c r="L43" i="7"/>
  <c r="L2032" i="7"/>
  <c r="L1769" i="7"/>
  <c r="L1441" i="7"/>
  <c r="L1012" i="7"/>
  <c r="L1505" i="7"/>
  <c r="L289" i="7"/>
  <c r="L2031" i="7"/>
  <c r="L1746" i="7"/>
  <c r="L1448" i="7"/>
  <c r="L1175" i="7"/>
  <c r="L834" i="7"/>
  <c r="L555" i="7"/>
  <c r="L152" i="7"/>
  <c r="L1830" i="7"/>
  <c r="L1764" i="7"/>
  <c r="L1918" i="7"/>
  <c r="L1713" i="7"/>
  <c r="L451" i="7"/>
  <c r="L544" i="7"/>
  <c r="L449" i="7"/>
  <c r="L1892" i="7"/>
  <c r="L1608" i="7"/>
  <c r="L1223" i="7"/>
  <c r="L796" i="7"/>
  <c r="L552" i="7"/>
  <c r="L193" i="7"/>
  <c r="L1979" i="7"/>
  <c r="L1628" i="7"/>
  <c r="L1222" i="7"/>
  <c r="L776" i="7"/>
  <c r="L294" i="7"/>
  <c r="L62" i="7"/>
  <c r="L2073" i="7"/>
  <c r="L1905" i="7"/>
  <c r="L1586" i="7"/>
  <c r="L1016" i="7"/>
  <c r="L560" i="7"/>
  <c r="L283" i="7"/>
  <c r="L620" i="7"/>
  <c r="L2064" i="7"/>
  <c r="L1848" i="7"/>
  <c r="L1585" i="7"/>
  <c r="L1062" i="7"/>
  <c r="L754" i="7"/>
  <c r="L549" i="7"/>
  <c r="L181" i="7"/>
  <c r="L2071" i="7"/>
  <c r="L1935" i="7"/>
  <c r="L1680" i="7"/>
  <c r="L1186" i="7"/>
  <c r="L627" i="7"/>
  <c r="L425" i="7"/>
  <c r="L44" i="7"/>
  <c r="L1983" i="7"/>
  <c r="L1728" i="7"/>
  <c r="L1426" i="7"/>
  <c r="L975" i="7"/>
  <c r="L740" i="7"/>
  <c r="L360" i="7"/>
  <c r="L473" i="7"/>
  <c r="L2024" i="7"/>
  <c r="L1945" i="7"/>
  <c r="L1425" i="7"/>
  <c r="L998" i="7"/>
  <c r="L739" i="7"/>
  <c r="L268" i="7"/>
  <c r="L1673" i="7"/>
  <c r="L2023" i="7"/>
  <c r="L1725" i="7"/>
  <c r="L1079" i="7"/>
  <c r="L1663" i="7"/>
  <c r="L778" i="7"/>
  <c r="L481" i="7"/>
  <c r="L102" i="7"/>
  <c r="L1833" i="7"/>
  <c r="L1734" i="7"/>
  <c r="L1767" i="7"/>
  <c r="L1438" i="7"/>
  <c r="L1411" i="7"/>
  <c r="L1410" i="7"/>
  <c r="L2103" i="7"/>
  <c r="L154" i="7"/>
  <c r="L450" i="7"/>
  <c r="A1029" i="7"/>
  <c r="A2105" i="7"/>
  <c r="A1493" i="7"/>
  <c r="A1693" i="7"/>
  <c r="A1232" i="7"/>
  <c r="A256" i="7"/>
  <c r="A2169" i="7"/>
  <c r="A1899" i="7"/>
  <c r="A1882" i="7"/>
  <c r="A2188" i="7"/>
  <c r="A2171" i="7"/>
  <c r="A1868" i="7"/>
  <c r="A1255" i="7"/>
  <c r="A1254" i="7"/>
  <c r="A1881" i="7"/>
  <c r="A2056" i="7"/>
  <c r="A1398" i="7"/>
  <c r="A2055" i="7"/>
  <c r="A1615" i="7"/>
  <c r="A2014" i="7"/>
  <c r="A1014" i="7"/>
  <c r="A1741" i="7"/>
  <c r="A1341" i="7"/>
  <c r="A941" i="7"/>
  <c r="A812" i="7"/>
  <c r="A1275" i="7"/>
  <c r="A1306" i="7"/>
  <c r="A1146" i="7"/>
  <c r="A1361" i="7"/>
  <c r="A1257" i="7"/>
  <c r="A347" i="7"/>
  <c r="A1128" i="7"/>
  <c r="A769" i="7"/>
  <c r="A592" i="7"/>
  <c r="A463" i="7"/>
  <c r="A174" i="7"/>
  <c r="A285" i="7"/>
  <c r="A284" i="7"/>
  <c r="A2068" i="7"/>
  <c r="A2024" i="7"/>
  <c r="A715" i="7"/>
  <c r="A274" i="7"/>
  <c r="A1474" i="7"/>
  <c r="A460" i="7"/>
  <c r="A2130" i="7"/>
  <c r="A1811" i="7"/>
  <c r="A1924" i="7"/>
  <c r="A1158" i="7"/>
  <c r="A1515" i="7"/>
  <c r="A1514" i="7"/>
  <c r="A1937" i="7"/>
  <c r="A1513" i="7"/>
  <c r="A1928" i="7"/>
  <c r="A1736" i="7"/>
  <c r="A1191" i="7"/>
  <c r="A1927" i="7"/>
  <c r="A1607" i="7"/>
  <c r="A2046" i="7"/>
  <c r="A1646" i="7"/>
  <c r="A1781" i="7"/>
  <c r="A1533" i="7"/>
  <c r="A1413" i="7"/>
  <c r="A1181" i="7"/>
  <c r="A1308" i="7"/>
  <c r="A908" i="7"/>
  <c r="A1283" i="7"/>
  <c r="A1370" i="7"/>
  <c r="A1170" i="7"/>
  <c r="A579" i="7"/>
  <c r="A1177" i="7"/>
  <c r="A27" i="7"/>
  <c r="A1264" i="7"/>
  <c r="A944" i="7"/>
  <c r="A402" i="7"/>
  <c r="A521" i="7"/>
  <c r="A209" i="7"/>
  <c r="A152" i="7"/>
  <c r="A583" i="7"/>
  <c r="A375" i="7"/>
  <c r="A582" i="7"/>
  <c r="A446" i="7"/>
  <c r="A118" i="7"/>
  <c r="A453" i="7"/>
  <c r="A109" i="7"/>
  <c r="A116" i="7"/>
  <c r="A1987" i="7"/>
  <c r="A1580" i="7"/>
  <c r="A1563" i="7"/>
  <c r="A1570" i="7"/>
  <c r="A983" i="7"/>
  <c r="A1446" i="7"/>
  <c r="A1568" i="7"/>
  <c r="A1567" i="7"/>
  <c r="A1870" i="7"/>
  <c r="A974" i="7"/>
  <c r="A627" i="7"/>
  <c r="A1125" i="7"/>
  <c r="A989" i="7"/>
  <c r="A515" i="7"/>
  <c r="A1100" i="7"/>
  <c r="A988" i="7"/>
  <c r="A1443" i="7"/>
  <c r="A1091" i="7"/>
  <c r="A1442" i="7"/>
  <c r="A1090" i="7"/>
  <c r="A962" i="7"/>
  <c r="A1113" i="7"/>
  <c r="A1001" i="7"/>
  <c r="A961" i="7"/>
  <c r="A1440" i="7"/>
  <c r="A1096" i="7"/>
  <c r="A984" i="7"/>
  <c r="A634" i="7"/>
  <c r="A530" i="7"/>
  <c r="A466" i="7"/>
  <c r="A58" i="7"/>
  <c r="A617" i="7"/>
  <c r="A553" i="7"/>
  <c r="A481" i="7"/>
  <c r="A225" i="7"/>
  <c r="A97" i="7"/>
  <c r="A624" i="7"/>
  <c r="A480" i="7"/>
  <c r="A224" i="7"/>
  <c r="A56" i="7"/>
  <c r="A631" i="7"/>
  <c r="A551" i="7"/>
  <c r="A223" i="7"/>
  <c r="A71" i="7"/>
  <c r="A630" i="7"/>
  <c r="A486" i="7"/>
  <c r="A238" i="7"/>
  <c r="A94" i="7"/>
  <c r="A46" i="7"/>
  <c r="A621" i="7"/>
  <c r="A509" i="7"/>
  <c r="A469" i="7"/>
  <c r="A213" i="7"/>
  <c r="A644" i="7"/>
  <c r="A604" i="7"/>
  <c r="A516" i="7"/>
  <c r="A476" i="7"/>
  <c r="A204" i="7"/>
  <c r="A60" i="7"/>
  <c r="A1643" i="7"/>
  <c r="A1407" i="7"/>
  <c r="A950" i="7"/>
  <c r="A1259" i="7"/>
  <c r="A272" i="7"/>
  <c r="A1832" i="7"/>
  <c r="A2118" i="7"/>
  <c r="A1691" i="7"/>
  <c r="A2129" i="7"/>
  <c r="A1692" i="7"/>
  <c r="A2097" i="7"/>
  <c r="A1688" i="7"/>
  <c r="A1943" i="7"/>
  <c r="A846" i="7"/>
  <c r="A1861" i="7"/>
  <c r="A1469" i="7"/>
  <c r="A1316" i="7"/>
  <c r="A363" i="7"/>
  <c r="A1202" i="7"/>
  <c r="A1489" i="7"/>
  <c r="A314" i="7"/>
  <c r="A584" i="7"/>
  <c r="A64" i="7"/>
  <c r="A263" i="7"/>
  <c r="A692" i="7"/>
  <c r="A1812" i="7"/>
  <c r="A918" i="7"/>
  <c r="A20" i="7"/>
  <c r="A2092" i="7"/>
  <c r="A725" i="7"/>
  <c r="A1216" i="7"/>
  <c r="A726" i="7"/>
  <c r="A2016" i="7"/>
  <c r="A19" i="7"/>
  <c r="A1281" i="7"/>
  <c r="A1817" i="7"/>
  <c r="A1379" i="7"/>
  <c r="A2091" i="7"/>
  <c r="A299" i="7"/>
  <c r="A1738" i="7"/>
  <c r="A2131" i="7"/>
  <c r="A1690" i="7"/>
  <c r="A1948" i="7"/>
  <c r="A1610" i="7"/>
  <c r="A2025" i="7"/>
  <c r="A1649" i="7"/>
  <c r="A1167" i="7"/>
  <c r="A1608" i="7"/>
  <c r="A1951" i="7"/>
  <c r="A1143" i="7"/>
  <c r="A1582" i="7"/>
  <c r="A1925" i="7"/>
  <c r="A1159" i="7"/>
  <c r="A971" i="7"/>
  <c r="A1313" i="7"/>
  <c r="A1368" i="7"/>
  <c r="A458" i="7"/>
  <c r="A66" i="7"/>
  <c r="A177" i="7"/>
  <c r="A328" i="7"/>
  <c r="A447" i="7"/>
  <c r="A574" i="7"/>
  <c r="A110" i="7"/>
  <c r="A13" i="7"/>
  <c r="A132" i="7"/>
  <c r="A1775" i="7"/>
  <c r="A804" i="7"/>
  <c r="A1080" i="7"/>
  <c r="A1979" i="7"/>
  <c r="A1428" i="7"/>
  <c r="A2186" i="7"/>
  <c r="A1785" i="7"/>
  <c r="A1190" i="7"/>
  <c r="A705" i="7"/>
  <c r="A661" i="7"/>
  <c r="A2076" i="7"/>
  <c r="A1023" i="7"/>
  <c r="A1985" i="7"/>
  <c r="A2080" i="7"/>
  <c r="A2079" i="7"/>
  <c r="A2077" i="7"/>
  <c r="A707" i="7"/>
  <c r="A796" i="7"/>
  <c r="A1211" i="7"/>
  <c r="A1210" i="7"/>
  <c r="A759" i="7"/>
  <c r="A761" i="7"/>
  <c r="A320" i="7"/>
  <c r="A718" i="7"/>
  <c r="A325" i="7"/>
  <c r="A1592" i="7"/>
  <c r="A294" i="7"/>
  <c r="A1637" i="7"/>
  <c r="A2083" i="7"/>
  <c r="A1498" i="7"/>
  <c r="A1983" i="7"/>
  <c r="A1661" i="7"/>
  <c r="A794" i="7"/>
  <c r="A1200" i="7"/>
  <c r="A719" i="7"/>
  <c r="A1652" i="7"/>
  <c r="A334" i="7"/>
  <c r="A2100" i="7"/>
  <c r="A2070" i="7"/>
  <c r="A979" i="7"/>
  <c r="A1013" i="7"/>
  <c r="A785" i="7"/>
  <c r="A2106" i="7"/>
  <c r="A2104" i="7"/>
  <c r="A2006" i="7"/>
  <c r="A1069" i="7"/>
  <c r="A682" i="7"/>
  <c r="A255" i="7"/>
  <c r="A2170" i="7"/>
  <c r="A1867" i="7"/>
  <c r="A2160" i="7"/>
  <c r="A1883" i="7"/>
  <c r="A2191" i="7"/>
  <c r="A2189" i="7"/>
  <c r="A1771" i="7"/>
  <c r="A1836" i="7"/>
  <c r="A942" i="7"/>
  <c r="A1006" i="7"/>
  <c r="A1801" i="7"/>
  <c r="A1880" i="7"/>
  <c r="A1334" i="7"/>
  <c r="A2015" i="7"/>
  <c r="A1551" i="7"/>
  <c r="A1742" i="7"/>
  <c r="A2125" i="7"/>
  <c r="A1613" i="7"/>
  <c r="A1277" i="7"/>
  <c r="A1404" i="7"/>
  <c r="A706" i="7"/>
  <c r="A811" i="7"/>
  <c r="A1290" i="7"/>
  <c r="A810" i="7"/>
  <c r="A1305" i="7"/>
  <c r="A977" i="7"/>
  <c r="A1384" i="7"/>
  <c r="A767" i="7"/>
  <c r="A441" i="7"/>
  <c r="A512" i="7"/>
  <c r="A439" i="7"/>
  <c r="A565" i="7"/>
  <c r="A173" i="7"/>
  <c r="A268" i="7"/>
  <c r="A1676" i="7"/>
  <c r="A2069" i="7"/>
  <c r="A1208" i="7"/>
  <c r="A716" i="7"/>
  <c r="A1590" i="7"/>
  <c r="A140" i="7"/>
  <c r="A1930" i="7"/>
  <c r="A2134" i="7"/>
  <c r="A2140" i="7"/>
  <c r="A1963" i="7"/>
  <c r="A1579" i="7"/>
  <c r="A1604" i="7"/>
  <c r="A967" i="7"/>
  <c r="A1466" i="7"/>
  <c r="A1326" i="7"/>
  <c r="A1913" i="7"/>
  <c r="A1335" i="7"/>
  <c r="A1896" i="7"/>
  <c r="A1648" i="7"/>
  <c r="A2047" i="7"/>
  <c r="A1767" i="7"/>
  <c r="A1575" i="7"/>
  <c r="A1902" i="7"/>
  <c r="A1311" i="7"/>
  <c r="A1653" i="7"/>
  <c r="A1310" i="7"/>
  <c r="A1373" i="7"/>
  <c r="A933" i="7"/>
  <c r="A980" i="7"/>
  <c r="A587" i="7"/>
  <c r="A1179" i="7"/>
  <c r="A1314" i="7"/>
  <c r="A858" i="7"/>
  <c r="A1465" i="7"/>
  <c r="A945" i="7"/>
  <c r="A11" i="7"/>
  <c r="A1168" i="7"/>
  <c r="A531" i="7"/>
  <c r="A178" i="7"/>
  <c r="A457" i="7"/>
  <c r="A145" i="7"/>
  <c r="A136" i="7"/>
  <c r="A575" i="7"/>
  <c r="A359" i="7"/>
  <c r="A534" i="7"/>
  <c r="A230" i="7"/>
  <c r="A14" i="7"/>
  <c r="A357" i="7"/>
  <c r="A45" i="7"/>
  <c r="A1571" i="7"/>
  <c r="A1564" i="7"/>
  <c r="A1450" i="7"/>
  <c r="A1447" i="7"/>
  <c r="A959" i="7"/>
  <c r="A1103" i="7"/>
  <c r="A1439" i="7"/>
  <c r="A1438" i="7"/>
  <c r="A1566" i="7"/>
  <c r="A1989" i="7"/>
  <c r="A523" i="7"/>
  <c r="A1109" i="7"/>
  <c r="A973" i="7"/>
  <c r="A475" i="7"/>
  <c r="A1092" i="7"/>
  <c r="A964" i="7"/>
  <c r="A1115" i="7"/>
  <c r="A1003" i="7"/>
  <c r="A1114" i="7"/>
  <c r="A1002" i="7"/>
  <c r="A643" i="7"/>
  <c r="A1105" i="7"/>
  <c r="A993" i="7"/>
  <c r="A211" i="7"/>
  <c r="A1120" i="7"/>
  <c r="A1088" i="7"/>
  <c r="A968" i="7"/>
  <c r="A626" i="7"/>
  <c r="A522" i="7"/>
  <c r="A226" i="7"/>
  <c r="A50" i="7"/>
  <c r="A609" i="7"/>
  <c r="A529" i="7"/>
  <c r="A473" i="7"/>
  <c r="A217" i="7"/>
  <c r="A57" i="7"/>
  <c r="A616" i="7"/>
  <c r="A264" i="7"/>
  <c r="A128" i="7"/>
  <c r="A48" i="7"/>
  <c r="A623" i="7"/>
  <c r="A487" i="7"/>
  <c r="A215" i="7"/>
  <c r="A55" i="7"/>
  <c r="A622" i="7"/>
  <c r="A478" i="7"/>
  <c r="A222" i="7"/>
  <c r="A70" i="7"/>
  <c r="A38" i="7"/>
  <c r="A613" i="7"/>
  <c r="A493" i="7"/>
  <c r="A253" i="7"/>
  <c r="A61" i="7"/>
  <c r="A628" i="7"/>
  <c r="A596" i="7"/>
  <c r="A508" i="7"/>
  <c r="A468" i="7"/>
  <c r="A196" i="7"/>
  <c r="A52" i="7"/>
  <c r="A1755" i="7"/>
  <c r="A2057" i="7"/>
  <c r="A443" i="7"/>
  <c r="A1201" i="7"/>
  <c r="A367" i="7"/>
  <c r="A781" i="7"/>
  <c r="A1684" i="7"/>
  <c r="A1809" i="7"/>
  <c r="A1640" i="7"/>
  <c r="A1903" i="7"/>
  <c r="A1686" i="7"/>
  <c r="A1797" i="7"/>
  <c r="A1245" i="7"/>
  <c r="A1244" i="7"/>
  <c r="A339" i="7"/>
  <c r="A1026" i="7"/>
  <c r="A733" i="7"/>
  <c r="A753" i="7"/>
  <c r="A552" i="7"/>
  <c r="A711" i="7"/>
  <c r="A23" i="7"/>
  <c r="A396" i="7"/>
  <c r="A1784" i="7"/>
  <c r="A920" i="7"/>
  <c r="A910" i="7"/>
  <c r="A1420" i="7"/>
  <c r="A386" i="7"/>
  <c r="A300" i="7"/>
  <c r="A1260" i="7"/>
  <c r="A1531" i="7"/>
  <c r="A1188" i="7"/>
  <c r="A400" i="7"/>
  <c r="A1991" i="7"/>
  <c r="A1219" i="7"/>
  <c r="A724" i="7"/>
  <c r="A1986" i="7"/>
  <c r="A1955" i="7"/>
  <c r="A1954" i="7"/>
  <c r="A1634" i="7"/>
  <c r="A1779" i="7"/>
  <c r="A1262" i="7"/>
  <c r="A1602" i="7"/>
  <c r="A1929" i="7"/>
  <c r="A1601" i="7"/>
  <c r="A1151" i="7"/>
  <c r="A1544" i="7"/>
  <c r="A1735" i="7"/>
  <c r="A1934" i="7"/>
  <c r="A1574" i="7"/>
  <c r="A1749" i="7"/>
  <c r="A1173" i="7"/>
  <c r="A701" i="7"/>
  <c r="A1265" i="7"/>
  <c r="A1176" i="7"/>
  <c r="A450" i="7"/>
  <c r="A10" i="7"/>
  <c r="A568" i="7"/>
  <c r="A288" i="7"/>
  <c r="A287" i="7"/>
  <c r="A526" i="7"/>
  <c r="A445" i="7"/>
  <c r="A444" i="7"/>
  <c r="A1798" i="7"/>
  <c r="A803" i="7"/>
  <c r="A1016" i="7"/>
  <c r="A1033" i="7"/>
  <c r="A2154" i="7"/>
  <c r="A2132" i="7"/>
  <c r="A2187" i="7"/>
  <c r="A1485" i="7"/>
  <c r="A1355" i="7"/>
  <c r="A377" i="7"/>
  <c r="A2090" i="7"/>
  <c r="A2082" i="7"/>
  <c r="A1980" i="7"/>
  <c r="A1199" i="7"/>
  <c r="A1697" i="7"/>
  <c r="A1984" i="7"/>
  <c r="A2071" i="7"/>
  <c r="A766" i="7"/>
  <c r="A267" i="7"/>
  <c r="A763" i="7"/>
  <c r="A795" i="7"/>
  <c r="A1194" i="7"/>
  <c r="A1144" i="7"/>
  <c r="A721" i="7"/>
  <c r="A655" i="7"/>
  <c r="A654" i="7"/>
  <c r="A317" i="7"/>
  <c r="A1587" i="7"/>
  <c r="A611" i="7"/>
  <c r="A293" i="7"/>
  <c r="A275" i="7"/>
  <c r="A2073" i="7"/>
  <c r="A2086" i="7"/>
  <c r="A1212" i="7"/>
  <c r="A760" i="7"/>
  <c r="A1024" i="7"/>
  <c r="A318" i="7"/>
  <c r="A1527" i="7"/>
  <c r="A1856" i="7"/>
  <c r="A1854" i="7"/>
  <c r="A41" i="7"/>
  <c r="A1472" i="7"/>
  <c r="A1522" i="7"/>
  <c r="A205" i="7"/>
  <c r="A1588" i="7"/>
  <c r="A1704" i="7"/>
  <c r="A1710" i="7"/>
  <c r="A741" i="7"/>
  <c r="A305" i="7"/>
  <c r="A646" i="7"/>
  <c r="A1819" i="7"/>
  <c r="A2124" i="7"/>
  <c r="A1835" i="7"/>
  <c r="A2159" i="7"/>
  <c r="A2190" i="7"/>
  <c r="A1642" i="7"/>
  <c r="A1772" i="7"/>
  <c r="A927" i="7"/>
  <c r="A1969" i="7"/>
  <c r="A1657" i="7"/>
  <c r="A1744" i="7"/>
  <c r="A1278" i="7"/>
  <c r="A1879" i="7"/>
  <c r="A1127" i="7"/>
  <c r="A1726" i="7"/>
  <c r="A2013" i="7"/>
  <c r="A1453" i="7"/>
  <c r="A1077" i="7"/>
  <c r="A1276" i="7"/>
  <c r="A1363" i="7"/>
  <c r="A771" i="7"/>
  <c r="A1274" i="7"/>
  <c r="A770" i="7"/>
  <c r="A1289" i="7"/>
  <c r="A793" i="7"/>
  <c r="A1256" i="7"/>
  <c r="A290" i="7"/>
  <c r="A289" i="7"/>
  <c r="A440" i="7"/>
  <c r="A566" i="7"/>
  <c r="A365" i="7"/>
  <c r="A564" i="7"/>
  <c r="A1207" i="7"/>
  <c r="A717" i="7"/>
  <c r="A1152" i="7"/>
  <c r="A1471" i="7"/>
  <c r="A1947" i="7"/>
  <c r="A1946" i="7"/>
  <c r="A1650" i="7"/>
  <c r="A1939" i="7"/>
  <c r="A1931" i="7"/>
  <c r="A1532" i="7"/>
  <c r="A943" i="7"/>
  <c r="A1175" i="7"/>
  <c r="A1961" i="7"/>
  <c r="A1689" i="7"/>
  <c r="A2040" i="7"/>
  <c r="A1792" i="7"/>
  <c r="A1528" i="7"/>
  <c r="A1959" i="7"/>
  <c r="A1759" i="7"/>
  <c r="A1535" i="7"/>
  <c r="A1790" i="7"/>
  <c r="A1957" i="7"/>
  <c r="A1645" i="7"/>
  <c r="A1183" i="7"/>
  <c r="A1309" i="7"/>
  <c r="A155" i="7"/>
  <c r="A972" i="7"/>
  <c r="A1387" i="7"/>
  <c r="A139" i="7"/>
  <c r="A1282" i="7"/>
  <c r="A818" i="7"/>
  <c r="A1369" i="7"/>
  <c r="A179" i="7"/>
  <c r="A1464" i="7"/>
  <c r="A1008" i="7"/>
  <c r="A586" i="7"/>
  <c r="A154" i="7"/>
  <c r="A433" i="7"/>
  <c r="A208" i="7"/>
  <c r="A8" i="7"/>
  <c r="A567" i="7"/>
  <c r="A231" i="7"/>
  <c r="A518" i="7"/>
  <c r="A206" i="7"/>
  <c r="A573" i="7"/>
  <c r="A181" i="7"/>
  <c r="A700" i="7"/>
  <c r="A1858" i="7"/>
  <c r="A1988" i="7"/>
  <c r="A1086" i="7"/>
  <c r="A990" i="7"/>
  <c r="A1110" i="7"/>
  <c r="A195" i="7"/>
  <c r="A982" i="7"/>
  <c r="A1102" i="7"/>
  <c r="A1095" i="7"/>
  <c r="A1094" i="7"/>
  <c r="A1565" i="7"/>
  <c r="A483" i="7"/>
  <c r="A1101" i="7"/>
  <c r="A651" i="7"/>
  <c r="A235" i="7"/>
  <c r="A1044" i="7"/>
  <c r="A467" i="7"/>
  <c r="A1107" i="7"/>
  <c r="A987" i="7"/>
  <c r="A1106" i="7"/>
  <c r="A994" i="7"/>
  <c r="A219" i="7"/>
  <c r="A1097" i="7"/>
  <c r="A985" i="7"/>
  <c r="A59" i="7"/>
  <c r="A1112" i="7"/>
  <c r="A1000" i="7"/>
  <c r="A960" i="7"/>
  <c r="A618" i="7"/>
  <c r="A482" i="7"/>
  <c r="A218" i="7"/>
  <c r="A633" i="7"/>
  <c r="A601" i="7"/>
  <c r="A513" i="7"/>
  <c r="A465" i="7"/>
  <c r="A169" i="7"/>
  <c r="A33" i="7"/>
  <c r="A600" i="7"/>
  <c r="A240" i="7"/>
  <c r="A96" i="7"/>
  <c r="A40" i="7"/>
  <c r="A615" i="7"/>
  <c r="A479" i="7"/>
  <c r="A207" i="7"/>
  <c r="A47" i="7"/>
  <c r="A614" i="7"/>
  <c r="A470" i="7"/>
  <c r="A214" i="7"/>
  <c r="A62" i="7"/>
  <c r="A645" i="7"/>
  <c r="A597" i="7"/>
  <c r="A485" i="7"/>
  <c r="A229" i="7"/>
  <c r="A53" i="7"/>
  <c r="A620" i="7"/>
  <c r="A532" i="7"/>
  <c r="A492" i="7"/>
  <c r="A252" i="7"/>
  <c r="A100" i="7"/>
  <c r="A44" i="7"/>
  <c r="A1754" i="7"/>
  <c r="A1972" i="7"/>
  <c r="A1849" i="7"/>
  <c r="A1149" i="7"/>
  <c r="A693" i="7"/>
  <c r="A135" i="7"/>
  <c r="A1072" i="7"/>
  <c r="A2155" i="7"/>
  <c r="A1286" i="7"/>
  <c r="A1737" i="7"/>
  <c r="A1247" i="7"/>
  <c r="A1246" i="7"/>
  <c r="A1414" i="7"/>
  <c r="A1677" i="7"/>
  <c r="A917" i="7"/>
  <c r="A1084" i="7"/>
  <c r="A752" i="7"/>
  <c r="A946" i="7"/>
  <c r="A315" i="7"/>
  <c r="A313" i="7"/>
  <c r="A456" i="7"/>
  <c r="A415" i="7"/>
  <c r="A734" i="7"/>
  <c r="A276" i="7"/>
  <c r="A2136" i="7"/>
  <c r="A1776" i="7"/>
  <c r="A690" i="7"/>
  <c r="A2026" i="7"/>
  <c r="A1215" i="7"/>
  <c r="A1403" i="7"/>
  <c r="A727" i="7"/>
  <c r="A330" i="7"/>
  <c r="A1887" i="7"/>
  <c r="A1010" i="7"/>
  <c r="A454" i="7"/>
  <c r="A2116" i="7"/>
  <c r="A1492" i="7"/>
  <c r="A663" i="7"/>
  <c r="A1716" i="7"/>
  <c r="A1635" i="7"/>
  <c r="A1651" i="7"/>
  <c r="A1964" i="7"/>
  <c r="A1182" i="7"/>
  <c r="A1578" i="7"/>
  <c r="A1889" i="7"/>
  <c r="A1545" i="7"/>
  <c r="A1944" i="7"/>
  <c r="A1512" i="7"/>
  <c r="A1583" i="7"/>
  <c r="A1910" i="7"/>
  <c r="A1374" i="7"/>
  <c r="A1589" i="7"/>
  <c r="A965" i="7"/>
  <c r="A1186" i="7"/>
  <c r="A1169" i="7"/>
  <c r="A698" i="7"/>
  <c r="A354" i="7"/>
  <c r="A697" i="7"/>
  <c r="A520" i="7"/>
  <c r="A216" i="7"/>
  <c r="A159" i="7"/>
  <c r="A182" i="7"/>
  <c r="A333" i="7"/>
  <c r="A356" i="7"/>
  <c r="A1734" i="7"/>
  <c r="A1402" i="7"/>
  <c r="A800" i="7"/>
  <c r="A1591" i="7"/>
  <c r="A332" i="7"/>
  <c r="A2050" i="7"/>
  <c r="A1679" i="7"/>
  <c r="A1034" i="7"/>
  <c r="A312" i="7"/>
  <c r="A981" i="7"/>
  <c r="A1658" i="7"/>
  <c r="A1660" i="7"/>
  <c r="A2089" i="7"/>
  <c r="A1198" i="7"/>
  <c r="A1552" i="7"/>
  <c r="A2078" i="7"/>
  <c r="A1197" i="7"/>
  <c r="A1252" i="7"/>
  <c r="A723" i="7"/>
  <c r="A722" i="7"/>
  <c r="A1497" i="7"/>
  <c r="A322" i="7"/>
  <c r="A417" i="7"/>
  <c r="A327" i="7"/>
  <c r="A326" i="7"/>
  <c r="A324" i="7"/>
  <c r="A1978" i="7"/>
  <c r="A1135" i="7"/>
  <c r="A1136" i="7"/>
  <c r="A1993" i="7"/>
  <c r="A1040" i="7"/>
  <c r="A1698" i="7"/>
  <c r="A1553" i="7"/>
  <c r="A2085" i="7"/>
  <c r="A1195" i="7"/>
  <c r="A1145" i="7"/>
  <c r="A321" i="7"/>
  <c r="A652" i="7"/>
  <c r="A2037" i="7"/>
  <c r="A2133" i="7"/>
  <c r="A1349" i="7"/>
  <c r="A527" i="7"/>
  <c r="A560" i="7"/>
  <c r="A1976" i="7"/>
  <c r="A1231" i="7"/>
  <c r="A2007" i="7"/>
  <c r="A1142" i="7"/>
  <c r="A739" i="7"/>
  <c r="A304" i="7"/>
  <c r="A740" i="7"/>
  <c r="A1770" i="7"/>
  <c r="A2042" i="7"/>
  <c r="A1818" i="7"/>
  <c r="A1898" i="7"/>
  <c r="A1970" i="7"/>
  <c r="A1900" i="7"/>
  <c r="A1342" i="7"/>
  <c r="A1496" i="7"/>
  <c r="A1897" i="7"/>
  <c r="A1399" i="7"/>
  <c r="A1616" i="7"/>
  <c r="A283" i="7"/>
  <c r="A1743" i="7"/>
  <c r="A1015" i="7"/>
  <c r="A1614" i="7"/>
  <c r="A1869" i="7"/>
  <c r="A1405" i="7"/>
  <c r="A1005" i="7"/>
  <c r="A1076" i="7"/>
  <c r="A1291" i="7"/>
  <c r="A1362" i="7"/>
  <c r="A1258" i="7"/>
  <c r="A1425" i="7"/>
  <c r="A1273" i="7"/>
  <c r="A768" i="7"/>
  <c r="A1192" i="7"/>
  <c r="A282" i="7"/>
  <c r="A281" i="7"/>
  <c r="A416" i="7"/>
  <c r="A462" i="7"/>
  <c r="A349" i="7"/>
  <c r="A348" i="7"/>
  <c r="A1682" i="7"/>
  <c r="A1585" i="7"/>
  <c r="A1209" i="7"/>
  <c r="A658" i="7"/>
  <c r="A555" i="7"/>
  <c r="A1603" i="7"/>
  <c r="A2018" i="7"/>
  <c r="A1932" i="7"/>
  <c r="A1516" i="7"/>
  <c r="A783" i="7"/>
  <c r="A1530" i="7"/>
  <c r="A1945" i="7"/>
  <c r="A1609" i="7"/>
  <c r="A1968" i="7"/>
  <c r="A1760" i="7"/>
  <c r="A1459" i="7"/>
  <c r="A1935" i="7"/>
  <c r="A1631" i="7"/>
  <c r="A2102" i="7"/>
  <c r="A1782" i="7"/>
  <c r="A1909" i="7"/>
  <c r="A1549" i="7"/>
  <c r="A709" i="7"/>
  <c r="A1261" i="7"/>
  <c r="A1372" i="7"/>
  <c r="A948" i="7"/>
  <c r="A1347" i="7"/>
  <c r="A67" i="7"/>
  <c r="A1266" i="7"/>
  <c r="A699" i="7"/>
  <c r="A1185" i="7"/>
  <c r="A131" i="7"/>
  <c r="A1336" i="7"/>
  <c r="A952" i="7"/>
  <c r="A570" i="7"/>
  <c r="A577" i="7"/>
  <c r="A329" i="7"/>
  <c r="A160" i="7"/>
  <c r="A695" i="7"/>
  <c r="A535" i="7"/>
  <c r="A111" i="7"/>
  <c r="A494" i="7"/>
  <c r="A158" i="7"/>
  <c r="A557" i="7"/>
  <c r="A133" i="7"/>
  <c r="A556" i="7"/>
  <c r="A1764" i="7"/>
  <c r="A991" i="7"/>
  <c r="A966" i="7"/>
  <c r="A1022" i="7"/>
  <c r="A1569" i="7"/>
  <c r="A1952" i="7"/>
  <c r="A999" i="7"/>
  <c r="A998" i="7"/>
  <c r="A1031" i="7"/>
  <c r="A1087" i="7"/>
  <c r="A1445" i="7"/>
  <c r="A1093" i="7"/>
  <c r="A619" i="7"/>
  <c r="A1108" i="7"/>
  <c r="A996" i="7"/>
  <c r="A227" i="7"/>
  <c r="A1099" i="7"/>
  <c r="A963" i="7"/>
  <c r="A1098" i="7"/>
  <c r="A986" i="7"/>
  <c r="A1441" i="7"/>
  <c r="A1089" i="7"/>
  <c r="A969" i="7"/>
  <c r="A1448" i="7"/>
  <c r="A1104" i="7"/>
  <c r="A992" i="7"/>
  <c r="A51" i="7"/>
  <c r="A594" i="7"/>
  <c r="A474" i="7"/>
  <c r="A210" i="7"/>
  <c r="A625" i="7"/>
  <c r="A593" i="7"/>
  <c r="A489" i="7"/>
  <c r="A233" i="7"/>
  <c r="A105" i="7"/>
  <c r="A632" i="7"/>
  <c r="A528" i="7"/>
  <c r="A232" i="7"/>
  <c r="A72" i="7"/>
  <c r="A639" i="7"/>
  <c r="A599" i="7"/>
  <c r="A239" i="7"/>
  <c r="A199" i="7"/>
  <c r="A638" i="7"/>
  <c r="A550" i="7"/>
  <c r="A254" i="7"/>
  <c r="A102" i="7"/>
  <c r="A54" i="7"/>
  <c r="A629" i="7"/>
  <c r="A517" i="7"/>
  <c r="A477" i="7"/>
  <c r="A221" i="7"/>
  <c r="A37" i="7"/>
  <c r="A612" i="7"/>
  <c r="A524" i="7"/>
  <c r="A484" i="7"/>
  <c r="A212" i="7"/>
  <c r="A68" i="7"/>
  <c r="A36" i="7"/>
  <c r="A2127" i="7"/>
  <c r="A1756" i="7"/>
  <c r="A951" i="7"/>
  <c r="A1148" i="7"/>
  <c r="A291" i="7"/>
  <c r="A782" i="7"/>
  <c r="A2098" i="7"/>
  <c r="A2151" i="7"/>
  <c r="A2119" i="7"/>
  <c r="A756" i="7"/>
  <c r="A1681" i="7"/>
  <c r="A1223" i="7"/>
  <c r="A1222" i="7"/>
  <c r="A1126" i="7"/>
  <c r="A747" i="7"/>
  <c r="A755" i="7"/>
  <c r="A754" i="7"/>
  <c r="A1322" i="7"/>
  <c r="A331" i="7"/>
  <c r="A378" i="7"/>
  <c r="A9" i="7"/>
  <c r="A176" i="7"/>
  <c r="A303" i="7"/>
  <c r="A101" i="7"/>
  <c r="A1778" i="7"/>
  <c r="A919" i="7"/>
  <c r="A689" i="7"/>
  <c r="A1675" i="7"/>
  <c r="A2093" i="7"/>
  <c r="A1400" i="7"/>
  <c r="A7" i="7"/>
  <c r="A2128" i="7"/>
  <c r="A710" i="7"/>
  <c r="A1573" i="7"/>
  <c r="A459" i="7"/>
  <c r="A148" i="7"/>
  <c r="A926" i="7"/>
  <c r="A2117" i="7"/>
  <c r="A228" i="7"/>
  <c r="A1461" i="7"/>
  <c r="A1214" i="7"/>
  <c r="A1962" i="7"/>
  <c r="A1956" i="7"/>
  <c r="A1547" i="7"/>
  <c r="A1546" i="7"/>
  <c r="A1825" i="7"/>
  <c r="A1529" i="7"/>
  <c r="A1888" i="7"/>
  <c r="A1166" i="7"/>
  <c r="A1511" i="7"/>
  <c r="A1630" i="7"/>
  <c r="A2029" i="7"/>
  <c r="A1470" i="7"/>
  <c r="A1187" i="7"/>
  <c r="A1377" i="7"/>
  <c r="A1153" i="7"/>
  <c r="A578" i="7"/>
  <c r="A138" i="7"/>
  <c r="A449" i="7"/>
  <c r="A448" i="7"/>
  <c r="A112" i="7"/>
  <c r="A103" i="7"/>
  <c r="A142" i="7"/>
  <c r="A149" i="7"/>
  <c r="A172" i="7"/>
  <c r="A1380" i="7"/>
  <c r="A1378" i="7"/>
  <c r="A351" i="7"/>
  <c r="A659" i="7"/>
  <c r="A1906" i="7"/>
  <c r="A2139" i="7"/>
  <c r="A1628" i="7"/>
  <c r="A1655" i="7"/>
  <c r="A162" i="7"/>
  <c r="A150" i="7"/>
  <c r="A273" i="7"/>
  <c r="A2075" i="7"/>
  <c r="A2084" i="7"/>
  <c r="A765" i="7"/>
  <c r="A2081" i="7"/>
  <c r="A2088" i="7"/>
  <c r="A2087" i="7"/>
  <c r="A1982" i="7"/>
  <c r="A764" i="7"/>
  <c r="A1196" i="7"/>
  <c r="A1251" i="7"/>
  <c r="A1250" i="7"/>
  <c r="A1193" i="7"/>
  <c r="A266" i="7"/>
  <c r="A720" i="7"/>
  <c r="A319" i="7"/>
  <c r="A653" i="7"/>
  <c r="A1977" i="7"/>
  <c r="A610" i="7"/>
  <c r="A2022" i="7"/>
  <c r="A664" i="7"/>
  <c r="A1659" i="7"/>
  <c r="A2074" i="7"/>
  <c r="A2072" i="7"/>
  <c r="A1981" i="7"/>
  <c r="A762" i="7"/>
  <c r="A323" i="7"/>
  <c r="A265" i="7"/>
  <c r="A1041" i="7"/>
  <c r="A1451" i="7"/>
  <c r="A2101" i="7"/>
  <c r="A119" i="7"/>
  <c r="A1747" i="7"/>
  <c r="A1171" i="7"/>
  <c r="A6" i="7"/>
  <c r="A1606" i="7"/>
  <c r="A146" i="7"/>
  <c r="A2121" i="7"/>
  <c r="A2044" i="7"/>
  <c r="A1680" i="7"/>
  <c r="A1249" i="7"/>
  <c r="A758" i="7"/>
  <c r="A1786" i="7"/>
  <c r="A2163" i="7"/>
  <c r="A2023" i="7"/>
  <c r="A1366" i="7"/>
  <c r="A1773" i="7"/>
  <c r="A912" i="7"/>
  <c r="A1174" i="7"/>
  <c r="A1154" i="7"/>
  <c r="A360" i="7"/>
  <c r="A1035" i="7"/>
  <c r="A1633" i="7"/>
  <c r="A286" i="7"/>
  <c r="A2161" i="7"/>
  <c r="A1750" i="7"/>
  <c r="A1307" i="7"/>
  <c r="A514" i="7"/>
  <c r="A366" i="7"/>
  <c r="N25" i="3"/>
  <c r="J24" i="3"/>
  <c r="K17" i="3"/>
  <c r="N22" i="3"/>
  <c r="J21" i="3"/>
  <c r="F20" i="3"/>
  <c r="N18" i="3"/>
  <c r="K24" i="3"/>
  <c r="E17" i="3"/>
  <c r="H22" i="3"/>
  <c r="K20" i="3"/>
  <c r="M18" i="3"/>
  <c r="I24" i="3"/>
  <c r="G22" i="3"/>
  <c r="C20" i="3"/>
  <c r="H24" i="3"/>
  <c r="E22" i="3"/>
  <c r="M19" i="3"/>
  <c r="H17" i="3"/>
  <c r="H21" i="3"/>
  <c r="D19" i="3"/>
  <c r="D20" i="3"/>
  <c r="D24" i="3"/>
  <c r="J25" i="3"/>
  <c r="F24" i="3"/>
  <c r="G17" i="3"/>
  <c r="J22" i="3"/>
  <c r="F21" i="3"/>
  <c r="N19" i="3"/>
  <c r="J18" i="3"/>
  <c r="E24" i="3"/>
  <c r="C22" i="3"/>
  <c r="E20" i="3"/>
  <c r="H18" i="3"/>
  <c r="C24" i="3"/>
  <c r="L17" i="3"/>
  <c r="L21" i="3"/>
  <c r="H19" i="3"/>
  <c r="I17" i="3"/>
  <c r="K21" i="3"/>
  <c r="E19" i="3"/>
  <c r="H25" i="3"/>
  <c r="M20" i="3"/>
  <c r="L20" i="3"/>
  <c r="L24" i="3"/>
  <c r="G18" i="3"/>
  <c r="M17" i="3"/>
  <c r="M25" i="3"/>
  <c r="F25" i="3"/>
  <c r="F22" i="3"/>
  <c r="N20" i="3"/>
  <c r="J19" i="3"/>
  <c r="F18" i="3"/>
  <c r="I25" i="3"/>
  <c r="I21" i="3"/>
  <c r="L19" i="3"/>
  <c r="L25" i="3"/>
  <c r="D17" i="3"/>
  <c r="E21" i="3"/>
  <c r="L18" i="3"/>
  <c r="K25" i="3"/>
  <c r="C21" i="3"/>
  <c r="K18" i="3"/>
  <c r="M24" i="3"/>
  <c r="K22" i="3"/>
  <c r="G20" i="3"/>
  <c r="G25" i="3"/>
  <c r="I18" i="3"/>
  <c r="N24" i="3"/>
  <c r="N21" i="3"/>
  <c r="J20" i="3"/>
  <c r="F19" i="3"/>
  <c r="D25" i="3"/>
  <c r="J17" i="3"/>
  <c r="M22" i="3"/>
  <c r="D21" i="3"/>
  <c r="G19" i="3"/>
  <c r="E25" i="3"/>
  <c r="I20" i="3"/>
  <c r="E18" i="3"/>
  <c r="C25" i="3"/>
  <c r="L22" i="3"/>
  <c r="H20" i="3"/>
  <c r="D18" i="3"/>
  <c r="G24" i="3"/>
  <c r="N17" i="3"/>
  <c r="D22" i="3"/>
  <c r="K19" i="3"/>
  <c r="I22" i="3"/>
  <c r="I19" i="3"/>
  <c r="C19" i="3"/>
  <c r="M21" i="3"/>
  <c r="F17" i="3"/>
  <c r="G21" i="3"/>
  <c r="A1859" i="7"/>
  <c r="A1857" i="7"/>
  <c r="A1855" i="7"/>
  <c r="A1862" i="7"/>
  <c r="A1391" i="7"/>
  <c r="A1389" i="7"/>
  <c r="A1444" i="7"/>
  <c r="A115" i="7"/>
  <c r="A931" i="7"/>
  <c r="A1449" i="7"/>
  <c r="A1416" i="7"/>
  <c r="A418" i="7"/>
  <c r="A34" i="7"/>
  <c r="A65" i="7"/>
  <c r="A464" i="7"/>
  <c r="A104" i="7"/>
  <c r="A39" i="7"/>
  <c r="A437" i="7"/>
  <c r="A2178" i="7"/>
  <c r="A2144" i="7"/>
  <c r="A1763" i="7"/>
  <c r="A2166" i="7"/>
  <c r="A1730" i="7"/>
  <c r="A1914" i="7"/>
  <c r="A2035" i="7"/>
  <c r="A2179" i="7"/>
  <c r="A1874" i="7"/>
  <c r="A1996" i="7"/>
  <c r="A1876" i="7"/>
  <c r="A1596" i="7"/>
  <c r="A1479" i="7"/>
  <c r="A1478" i="7"/>
  <c r="A1506" i="7"/>
  <c r="A2001" i="7"/>
  <c r="A1777" i="7"/>
  <c r="A1561" i="7"/>
  <c r="A1062" i="7"/>
  <c r="A1872" i="7"/>
  <c r="A1600" i="7"/>
  <c r="A1055" i="7"/>
  <c r="A2031" i="7"/>
  <c r="A1919" i="7"/>
  <c r="A1559" i="7"/>
  <c r="A975" i="7"/>
  <c r="A1974" i="7"/>
  <c r="A1814" i="7"/>
  <c r="A1510" i="7"/>
  <c r="A807" i="7"/>
  <c r="A1941" i="7"/>
  <c r="A1621" i="7"/>
  <c r="A1480" i="7"/>
  <c r="A163" i="7"/>
  <c r="A1429" i="7"/>
  <c r="A1269" i="7"/>
  <c r="A1117" i="7"/>
  <c r="A925" i="7"/>
  <c r="A1484" i="7"/>
  <c r="A1356" i="7"/>
  <c r="A1140" i="7"/>
  <c r="A1052" i="7"/>
  <c r="A547" i="7"/>
  <c r="A1299" i="7"/>
  <c r="A1131" i="7"/>
  <c r="A939" i="7"/>
  <c r="A1410" i="7"/>
  <c r="A1298" i="7"/>
  <c r="A1082" i="7"/>
  <c r="A675" i="7"/>
  <c r="A1481" i="7"/>
  <c r="A1329" i="7"/>
  <c r="A1065" i="7"/>
  <c r="A809" i="7"/>
  <c r="A251" i="7"/>
  <c r="A1224" i="7"/>
  <c r="A976" i="7"/>
  <c r="A243" i="7"/>
  <c r="A602" i="7"/>
  <c r="A538" i="7"/>
  <c r="A250" i="7"/>
  <c r="A90" i="7"/>
  <c r="A681" i="7"/>
  <c r="A545" i="7"/>
  <c r="A249" i="7"/>
  <c r="A89" i="7"/>
  <c r="A704" i="7"/>
  <c r="A544" i="7"/>
  <c r="A296" i="7"/>
  <c r="A168" i="7"/>
  <c r="A703" i="7"/>
  <c r="A543" i="7"/>
  <c r="A247" i="7"/>
  <c r="A87" i="7"/>
  <c r="A590" i="7"/>
  <c r="A246" i="7"/>
  <c r="A86" i="7"/>
  <c r="A669" i="7"/>
  <c r="A501" i="7"/>
  <c r="A165" i="7"/>
  <c r="A85" i="7"/>
  <c r="A548" i="7"/>
  <c r="A244" i="7"/>
  <c r="A92" i="7"/>
  <c r="A355" i="7"/>
  <c r="A1032" i="7"/>
  <c r="A2137" i="7"/>
  <c r="A1263" i="7"/>
  <c r="A198" i="7"/>
  <c r="A1715" i="7"/>
  <c r="A1912" i="7"/>
  <c r="A1678" i="7"/>
  <c r="A234" i="7"/>
  <c r="A383" i="7"/>
  <c r="A1239" i="7"/>
  <c r="A1696" i="7"/>
  <c r="A1687" i="7"/>
  <c r="A1581" i="7"/>
  <c r="A307" i="7"/>
  <c r="A1235" i="7"/>
  <c r="A1122" i="7"/>
  <c r="A1121" i="7"/>
  <c r="A745" i="7"/>
  <c r="A647" i="7"/>
  <c r="A308" i="7"/>
  <c r="A1904" i="7"/>
  <c r="A144" i="7"/>
  <c r="A1468" i="7"/>
  <c r="A16" i="7"/>
  <c r="A1632" i="7"/>
  <c r="A1463" i="7"/>
  <c r="A1768" i="7"/>
  <c r="A1949" i="7"/>
  <c r="A1180" i="7"/>
  <c r="A1178" i="7"/>
  <c r="A143" i="7"/>
  <c r="A1793" i="7"/>
  <c r="A1348" i="7"/>
  <c r="A1352" i="7"/>
  <c r="A183" i="7"/>
  <c r="A388" i="7"/>
  <c r="A1761" i="7"/>
  <c r="A1297" i="7"/>
  <c r="A728" i="7"/>
  <c r="A731" i="7"/>
  <c r="A1221" i="7"/>
  <c r="A691" i="7"/>
  <c r="A1539" i="7"/>
  <c r="A1647" i="7"/>
  <c r="A1965" i="7"/>
  <c r="A1315" i="7"/>
  <c r="A157" i="7"/>
  <c r="A1302" i="7"/>
  <c r="A1706" i="7"/>
  <c r="A1700" i="7"/>
  <c r="A1705" i="7"/>
  <c r="A1719" i="7"/>
  <c r="A2062" i="7"/>
  <c r="A1709" i="7"/>
  <c r="A1204" i="7"/>
  <c r="A713" i="7"/>
  <c r="A1541" i="7"/>
  <c r="A569" i="7"/>
  <c r="A2156" i="7"/>
  <c r="A757" i="7"/>
  <c r="A1703" i="7"/>
  <c r="A1272" i="7"/>
  <c r="A197" i="7"/>
  <c r="A2162" i="7"/>
  <c r="A2173" i="7"/>
  <c r="A1577" i="7"/>
  <c r="A1605" i="7"/>
  <c r="A403" i="7"/>
  <c r="A1365" i="7"/>
  <c r="A405" i="7"/>
  <c r="A830" i="7"/>
  <c r="A802" i="7"/>
  <c r="A184" i="7"/>
  <c r="A2045" i="7"/>
  <c r="A2043" i="7"/>
  <c r="A1796" i="7"/>
  <c r="A1534" i="7"/>
  <c r="A1394" i="7"/>
  <c r="A344" i="7"/>
  <c r="A270" i="7"/>
  <c r="A708" i="7"/>
  <c r="A1851" i="7"/>
  <c r="A1860" i="7"/>
  <c r="A958" i="7"/>
  <c r="A1823" i="7"/>
  <c r="A1822" i="7"/>
  <c r="A419" i="7"/>
  <c r="A957" i="7"/>
  <c r="A1388" i="7"/>
  <c r="A1419" i="7"/>
  <c r="A1418" i="7"/>
  <c r="A1417" i="7"/>
  <c r="A1392" i="7"/>
  <c r="A114" i="7"/>
  <c r="A26" i="7"/>
  <c r="A49" i="7"/>
  <c r="A432" i="7"/>
  <c r="A471" i="7"/>
  <c r="A438" i="7"/>
  <c r="A436" i="7"/>
  <c r="A1850" i="7"/>
  <c r="A2176" i="7"/>
  <c r="A2175" i="7"/>
  <c r="A1731" i="7"/>
  <c r="A2150" i="7"/>
  <c r="A1626" i="7"/>
  <c r="A2148" i="7"/>
  <c r="A1619" i="7"/>
  <c r="A2180" i="7"/>
  <c r="A1891" i="7"/>
  <c r="A2146" i="7"/>
  <c r="A2052" i="7"/>
  <c r="A1916" i="7"/>
  <c r="A1732" i="7"/>
  <c r="A1572" i="7"/>
  <c r="A1118" i="7"/>
  <c r="A1359" i="7"/>
  <c r="A1358" i="7"/>
  <c r="A1921" i="7"/>
  <c r="A1729" i="7"/>
  <c r="A1504" i="7"/>
  <c r="A2032" i="7"/>
  <c r="A1864" i="7"/>
  <c r="A1560" i="7"/>
  <c r="A855" i="7"/>
  <c r="A1999" i="7"/>
  <c r="A1671" i="7"/>
  <c r="A1502" i="7"/>
  <c r="A774" i="7"/>
  <c r="A1966" i="7"/>
  <c r="A1670" i="7"/>
  <c r="A1482" i="7"/>
  <c r="A2149" i="7"/>
  <c r="A1917" i="7"/>
  <c r="A1597" i="7"/>
  <c r="A1430" i="7"/>
  <c r="A123" i="7"/>
  <c r="A1357" i="7"/>
  <c r="A1229" i="7"/>
  <c r="A1061" i="7"/>
  <c r="A805" i="7"/>
  <c r="A1460" i="7"/>
  <c r="A1300" i="7"/>
  <c r="A1132" i="7"/>
  <c r="A1020" i="7"/>
  <c r="A187" i="7"/>
  <c r="A1267" i="7"/>
  <c r="A1067" i="7"/>
  <c r="A787" i="7"/>
  <c r="A1386" i="7"/>
  <c r="A1226" i="7"/>
  <c r="A1066" i="7"/>
  <c r="A507" i="7"/>
  <c r="A1457" i="7"/>
  <c r="A1321" i="7"/>
  <c r="A1057" i="7"/>
  <c r="A777" i="7"/>
  <c r="A1456" i="7"/>
  <c r="A1160" i="7"/>
  <c r="A808" i="7"/>
  <c r="A203" i="7"/>
  <c r="A562" i="7"/>
  <c r="A506" i="7"/>
  <c r="A242" i="7"/>
  <c r="A82" i="7"/>
  <c r="A673" i="7"/>
  <c r="A505" i="7"/>
  <c r="A241" i="7"/>
  <c r="A81" i="7"/>
  <c r="A680" i="7"/>
  <c r="A504" i="7"/>
  <c r="A280" i="7"/>
  <c r="A88" i="7"/>
  <c r="A679" i="7"/>
  <c r="A503" i="7"/>
  <c r="A191" i="7"/>
  <c r="A79" i="7"/>
  <c r="A542" i="7"/>
  <c r="A190" i="7"/>
  <c r="A78" i="7"/>
  <c r="A581" i="7"/>
  <c r="A277" i="7"/>
  <c r="A141" i="7"/>
  <c r="A77" i="7"/>
  <c r="A540" i="7"/>
  <c r="A188" i="7"/>
  <c r="A84" i="7"/>
  <c r="A1639" i="7"/>
  <c r="A702" i="7"/>
  <c r="A696" i="7"/>
  <c r="A2017" i="7"/>
  <c r="A1129" i="7"/>
  <c r="A732" i="7"/>
  <c r="A1840" i="7"/>
  <c r="A1765" i="7"/>
  <c r="A665" i="7"/>
  <c r="A668" i="7"/>
  <c r="A2112" i="7"/>
  <c r="A2107" i="7"/>
  <c r="A1238" i="7"/>
  <c r="A1576" i="7"/>
  <c r="A1519" i="7"/>
  <c r="A1517" i="7"/>
  <c r="A1236" i="7"/>
  <c r="A1123" i="7"/>
  <c r="A259" i="7"/>
  <c r="A1240" i="7"/>
  <c r="A257" i="7"/>
  <c r="A742" i="7"/>
  <c r="A260" i="7"/>
  <c r="A1491" i="7"/>
  <c r="A1017" i="7"/>
  <c r="A15" i="7"/>
  <c r="A1780" i="7"/>
  <c r="A1953" i="7"/>
  <c r="A1543" i="7"/>
  <c r="A1933" i="7"/>
  <c r="A1172" i="7"/>
  <c r="A408" i="7"/>
  <c r="A358" i="7"/>
  <c r="A1791" i="7"/>
  <c r="A875" i="7"/>
  <c r="A1344" i="7"/>
  <c r="A390" i="7"/>
  <c r="A180" i="7"/>
  <c r="A1714" i="7"/>
  <c r="A2096" i="7"/>
  <c r="A1217" i="7"/>
  <c r="A302" i="7"/>
  <c r="A2135" i="7"/>
  <c r="A730" i="7"/>
  <c r="A1324" i="7"/>
  <c r="A410" i="7"/>
  <c r="A1938" i="7"/>
  <c r="A1586" i="7"/>
  <c r="A1990" i="7"/>
  <c r="A1629" i="7"/>
  <c r="A337" i="7"/>
  <c r="A572" i="7"/>
  <c r="A1638" i="7"/>
  <c r="A2059" i="7"/>
  <c r="A1707" i="7"/>
  <c r="A1206" i="7"/>
  <c r="A2064" i="7"/>
  <c r="A1711" i="7"/>
  <c r="A1718" i="7"/>
  <c r="A1293" i="7"/>
  <c r="A772" i="7"/>
  <c r="A657" i="7"/>
  <c r="A1371" i="7"/>
  <c r="A519" i="7"/>
  <c r="A2120" i="7"/>
  <c r="A595" i="7"/>
  <c r="A1685" i="7"/>
  <c r="A1248" i="7"/>
  <c r="A340" i="7"/>
  <c r="A1462" i="7"/>
  <c r="A368" i="7"/>
  <c r="A911" i="7"/>
  <c r="A1364" i="7"/>
  <c r="A404" i="7"/>
  <c r="A1213" i="7"/>
  <c r="A387" i="7"/>
  <c r="A1593" i="7"/>
  <c r="A662" i="7"/>
  <c r="A1794" i="7"/>
  <c r="A694" i="7"/>
  <c r="A1611" i="7"/>
  <c r="A1279" i="7"/>
  <c r="A1901" i="7"/>
  <c r="A1025" i="7"/>
  <c r="A343" i="7"/>
  <c r="A134" i="7"/>
  <c r="A1828" i="7"/>
  <c r="A1848" i="7"/>
  <c r="A1415" i="7"/>
  <c r="A934" i="7"/>
  <c r="A35" i="7"/>
  <c r="A949" i="7"/>
  <c r="A956" i="7"/>
  <c r="A1395" i="7"/>
  <c r="A930" i="7"/>
  <c r="A1393" i="7"/>
  <c r="A928" i="7"/>
  <c r="A106" i="7"/>
  <c r="A425" i="7"/>
  <c r="A488" i="7"/>
  <c r="A424" i="7"/>
  <c r="A431" i="7"/>
  <c r="A430" i="7"/>
  <c r="A428" i="7"/>
  <c r="A1674" i="7"/>
  <c r="A2143" i="7"/>
  <c r="A2142" i="7"/>
  <c r="A1627" i="7"/>
  <c r="A1995" i="7"/>
  <c r="A2019" i="7"/>
  <c r="A2147" i="7"/>
  <c r="A1875" i="7"/>
  <c r="A2034" i="7"/>
  <c r="A2036" i="7"/>
  <c r="A1892" i="7"/>
  <c r="A1668" i="7"/>
  <c r="A1556" i="7"/>
  <c r="A563" i="7"/>
  <c r="A91" i="7"/>
  <c r="A1063" i="7"/>
  <c r="A1873" i="7"/>
  <c r="A1673" i="7"/>
  <c r="A1319" i="7"/>
  <c r="A2000" i="7"/>
  <c r="A1672" i="7"/>
  <c r="A1503" i="7"/>
  <c r="A775" i="7"/>
  <c r="A1975" i="7"/>
  <c r="A1623" i="7"/>
  <c r="A1483" i="7"/>
  <c r="A2030" i="7"/>
  <c r="A1942" i="7"/>
  <c r="A1622" i="7"/>
  <c r="A1455" i="7"/>
  <c r="A1997" i="7"/>
  <c r="A1893" i="7"/>
  <c r="A1557" i="7"/>
  <c r="A1119" i="7"/>
  <c r="A83" i="7"/>
  <c r="A1301" i="7"/>
  <c r="A1189" i="7"/>
  <c r="A1053" i="7"/>
  <c r="A789" i="7"/>
  <c r="A1436" i="7"/>
  <c r="A1268" i="7"/>
  <c r="A1068" i="7"/>
  <c r="A916" i="7"/>
  <c r="A1435" i="7"/>
  <c r="A1227" i="7"/>
  <c r="A1059" i="7"/>
  <c r="A539" i="7"/>
  <c r="A1338" i="7"/>
  <c r="A1162" i="7"/>
  <c r="A1058" i="7"/>
  <c r="A395" i="7"/>
  <c r="A1433" i="7"/>
  <c r="A1225" i="7"/>
  <c r="A1049" i="7"/>
  <c r="A738" i="7"/>
  <c r="A1432" i="7"/>
  <c r="A1064" i="7"/>
  <c r="A776" i="7"/>
  <c r="A674" i="7"/>
  <c r="A554" i="7"/>
  <c r="A498" i="7"/>
  <c r="A202" i="7"/>
  <c r="A74" i="7"/>
  <c r="A641" i="7"/>
  <c r="A497" i="7"/>
  <c r="A201" i="7"/>
  <c r="A73" i="7"/>
  <c r="A672" i="7"/>
  <c r="A496" i="7"/>
  <c r="A248" i="7"/>
  <c r="A80" i="7"/>
  <c r="A671" i="7"/>
  <c r="A495" i="7"/>
  <c r="A167" i="7"/>
  <c r="A678" i="7"/>
  <c r="A502" i="7"/>
  <c r="A166" i="7"/>
  <c r="A30" i="7"/>
  <c r="A549" i="7"/>
  <c r="A245" i="7"/>
  <c r="A125" i="7"/>
  <c r="A676" i="7"/>
  <c r="A500" i="7"/>
  <c r="A164" i="7"/>
  <c r="A76" i="7"/>
  <c r="A2141" i="7"/>
  <c r="A1487" i="7"/>
  <c r="A295" i="7"/>
  <c r="A1584" i="7"/>
  <c r="A352" i="7"/>
  <c r="A1046" i="7"/>
  <c r="A2095" i="7"/>
  <c r="A1043" i="7"/>
  <c r="A161" i="7"/>
  <c r="A2010" i="7"/>
  <c r="A2113" i="7"/>
  <c r="A1683" i="7"/>
  <c r="A2009" i="7"/>
  <c r="A1520" i="7"/>
  <c r="A1518" i="7"/>
  <c r="A1237" i="7"/>
  <c r="A1124" i="7"/>
  <c r="A683" i="7"/>
  <c r="A1241" i="7"/>
  <c r="A306" i="7"/>
  <c r="A744" i="7"/>
  <c r="A309" i="7"/>
  <c r="A1027" i="7"/>
  <c r="A2126" i="7"/>
  <c r="A921" i="7"/>
  <c r="A1866" i="7"/>
  <c r="A1548" i="7"/>
  <c r="A1833" i="7"/>
  <c r="A1654" i="7"/>
  <c r="A1845" i="7"/>
  <c r="A147" i="7"/>
  <c r="A175" i="7"/>
  <c r="A381" i="7"/>
  <c r="A1795" i="7"/>
  <c r="A1351" i="7"/>
  <c r="A1345" i="7"/>
  <c r="A896" i="7"/>
  <c r="A382" i="7"/>
  <c r="A1712" i="7"/>
  <c r="A362" i="7"/>
  <c r="A301" i="7"/>
  <c r="A1699" i="7"/>
  <c r="A1694" i="7"/>
  <c r="A1220" i="7"/>
  <c r="A336" i="7"/>
  <c r="A1936" i="7"/>
  <c r="A1958" i="7"/>
  <c r="A1317" i="7"/>
  <c r="A153" i="7"/>
  <c r="A156" i="7"/>
  <c r="A2005" i="7"/>
  <c r="A2067" i="7"/>
  <c r="A2060" i="7"/>
  <c r="A2065" i="7"/>
  <c r="A1295" i="7"/>
  <c r="A1695" i="7"/>
  <c r="A2061" i="7"/>
  <c r="A1205" i="7"/>
  <c r="A1203" i="7"/>
  <c r="A608" i="7"/>
  <c r="A1521" i="7"/>
  <c r="A1147" i="7"/>
  <c r="A792" i="7"/>
  <c r="A316" i="7"/>
  <c r="A2172" i="7"/>
  <c r="A2048" i="7"/>
  <c r="A1803" i="7"/>
  <c r="A1804" i="7"/>
  <c r="A1806" i="7"/>
  <c r="A913" i="7"/>
  <c r="A1157" i="7"/>
  <c r="A361" i="7"/>
  <c r="A1907" i="7"/>
  <c r="A1036" i="7"/>
  <c r="A350" i="7"/>
  <c r="A1971" i="7"/>
  <c r="A1847" i="7"/>
  <c r="A1733" i="7"/>
  <c r="A864" i="7"/>
  <c r="A271" i="7"/>
  <c r="A269" i="7"/>
  <c r="A1826" i="7"/>
  <c r="A1834" i="7"/>
  <c r="A1820" i="7"/>
  <c r="A1824" i="7"/>
  <c r="A935" i="7"/>
  <c r="A1821" i="7"/>
  <c r="A1421" i="7"/>
  <c r="A435" i="7"/>
  <c r="A940" i="7"/>
  <c r="A955" i="7"/>
  <c r="A427" i="7"/>
  <c r="A953" i="7"/>
  <c r="A426" i="7"/>
  <c r="A42" i="7"/>
  <c r="A113" i="7"/>
  <c r="A472" i="7"/>
  <c r="A120" i="7"/>
  <c r="A95" i="7"/>
  <c r="A533" i="7"/>
  <c r="A420" i="7"/>
  <c r="A2145" i="7"/>
  <c r="A2177" i="7"/>
  <c r="A2003" i="7"/>
  <c r="A2002" i="7"/>
  <c r="A1915" i="7"/>
  <c r="A1994" i="7"/>
  <c r="A2051" i="7"/>
  <c r="A1890" i="7"/>
  <c r="A2004" i="7"/>
  <c r="A1884" i="7"/>
  <c r="A1620" i="7"/>
  <c r="A1508" i="7"/>
  <c r="A1507" i="7"/>
  <c r="A1562" i="7"/>
  <c r="A2033" i="7"/>
  <c r="A1865" i="7"/>
  <c r="A1625" i="7"/>
  <c r="A1230" i="7"/>
  <c r="A1920" i="7"/>
  <c r="A1624" i="7"/>
  <c r="A1318" i="7"/>
  <c r="A2103" i="7"/>
  <c r="A1967" i="7"/>
  <c r="A1599" i="7"/>
  <c r="A1054" i="7"/>
  <c r="A1998" i="7"/>
  <c r="A1918" i="7"/>
  <c r="A1598" i="7"/>
  <c r="A1431" i="7"/>
  <c r="A1973" i="7"/>
  <c r="A1669" i="7"/>
  <c r="A1509" i="7"/>
  <c r="A806" i="7"/>
  <c r="A1437" i="7"/>
  <c r="A1285" i="7"/>
  <c r="A1141" i="7"/>
  <c r="A1021" i="7"/>
  <c r="A75" i="7"/>
  <c r="A1412" i="7"/>
  <c r="A1228" i="7"/>
  <c r="A1060" i="7"/>
  <c r="A788" i="7"/>
  <c r="A1411" i="7"/>
  <c r="A1163" i="7"/>
  <c r="A1051" i="7"/>
  <c r="A1434" i="7"/>
  <c r="A1330" i="7"/>
  <c r="A1130" i="7"/>
  <c r="A1050" i="7"/>
  <c r="A1505" i="7"/>
  <c r="A1409" i="7"/>
  <c r="A1161" i="7"/>
  <c r="A1009" i="7"/>
  <c r="A499" i="7"/>
  <c r="A1320" i="7"/>
  <c r="A1056" i="7"/>
  <c r="A603" i="7"/>
  <c r="A642" i="7"/>
  <c r="A546" i="7"/>
  <c r="A394" i="7"/>
  <c r="A122" i="7"/>
  <c r="A737" i="7"/>
  <c r="A561" i="7"/>
  <c r="A393" i="7"/>
  <c r="A121" i="7"/>
  <c r="A736" i="7"/>
  <c r="A640" i="7"/>
  <c r="A392" i="7"/>
  <c r="A192" i="7"/>
  <c r="A735" i="7"/>
  <c r="A591" i="7"/>
  <c r="A279" i="7"/>
  <c r="A127" i="7"/>
  <c r="A670" i="7"/>
  <c r="A278" i="7"/>
  <c r="A126" i="7"/>
  <c r="A677" i="7"/>
  <c r="A541" i="7"/>
  <c r="A189" i="7"/>
  <c r="A93" i="7"/>
  <c r="A580" i="7"/>
  <c r="A412" i="7"/>
  <c r="A124" i="7"/>
  <c r="A1116" i="7"/>
  <c r="A1905" i="7"/>
  <c r="A1702" i="7"/>
  <c r="A598" i="7"/>
  <c r="A1486" i="7"/>
  <c r="A2094" i="7"/>
  <c r="A1473" i="7"/>
  <c r="A25" i="7"/>
  <c r="A1922" i="7"/>
  <c r="A2110" i="7"/>
  <c r="A2108" i="7"/>
  <c r="A2008" i="7"/>
  <c r="A2111" i="7"/>
  <c r="A2109" i="7"/>
  <c r="A746" i="7"/>
  <c r="A743" i="7"/>
  <c r="A1234" i="7"/>
  <c r="A1233" i="7"/>
  <c r="A258" i="7"/>
  <c r="A648" i="7"/>
  <c r="A684" i="7"/>
  <c r="A656" i="7"/>
  <c r="A442" i="7"/>
  <c r="A1636" i="7"/>
  <c r="A1488" i="7"/>
  <c r="A1039" i="7"/>
  <c r="A1542" i="7"/>
  <c r="A1340" i="7"/>
  <c r="A1339" i="7"/>
  <c r="A151" i="7"/>
  <c r="A380" i="7"/>
  <c r="A1787" i="7"/>
  <c r="A1788" i="7"/>
  <c r="A1789" i="7"/>
  <c r="A1360" i="7"/>
  <c r="A880" i="7"/>
  <c r="A389" i="7"/>
  <c r="A799" i="7"/>
  <c r="A1218" i="7"/>
  <c r="A729" i="7"/>
  <c r="A1325" i="7"/>
  <c r="A1323" i="7"/>
  <c r="A335" i="7"/>
  <c r="A1540" i="7"/>
  <c r="A1078" i="7"/>
  <c r="A1950" i="7"/>
  <c r="A1284" i="7"/>
  <c r="A558" i="7"/>
  <c r="A778" i="7"/>
  <c r="A2066" i="7"/>
  <c r="A1708" i="7"/>
  <c r="A1713" i="7"/>
  <c r="A2063" i="7"/>
  <c r="A1294" i="7"/>
  <c r="A1717" i="7"/>
  <c r="A1085" i="7"/>
  <c r="A714" i="7"/>
  <c r="A200" i="7"/>
  <c r="M63" i="3"/>
  <c r="I62" i="3"/>
  <c r="D63" i="3"/>
  <c r="K63" i="3"/>
  <c r="G62" i="3"/>
  <c r="I63" i="3"/>
  <c r="E62" i="3"/>
  <c r="L62" i="3"/>
  <c r="G63" i="3"/>
  <c r="C62" i="3"/>
  <c r="J63" i="3"/>
  <c r="N63" i="3"/>
  <c r="N62" i="3"/>
  <c r="E63" i="3"/>
  <c r="L63" i="3"/>
  <c r="H62" i="3"/>
  <c r="C63" i="3"/>
  <c r="F62" i="3"/>
  <c r="M62" i="3"/>
  <c r="H63" i="3"/>
  <c r="D62" i="3"/>
  <c r="K62" i="3"/>
  <c r="F63" i="3"/>
  <c r="J62" i="3"/>
  <c r="N49" i="3"/>
  <c r="E44" i="3"/>
  <c r="G38" i="3"/>
  <c r="M58" i="3"/>
  <c r="C38" i="3"/>
  <c r="I45" i="3"/>
  <c r="K39" i="3"/>
  <c r="M33" i="3"/>
  <c r="A5" i="7"/>
  <c r="F49" i="3"/>
  <c r="H43" i="3"/>
  <c r="J37" i="3"/>
  <c r="E58" i="3"/>
  <c r="C46" i="3"/>
  <c r="L44" i="3"/>
  <c r="N38" i="3"/>
  <c r="E33" i="3"/>
  <c r="L30" i="3"/>
  <c r="I48" i="3"/>
  <c r="K42" i="3"/>
  <c r="M36" i="3"/>
  <c r="H57" i="3"/>
  <c r="M49" i="3"/>
  <c r="D44" i="3"/>
  <c r="F38" i="3"/>
  <c r="L58" i="3"/>
  <c r="D30" i="3"/>
  <c r="L47" i="3"/>
  <c r="N41" i="3"/>
  <c r="E36" i="3"/>
  <c r="K56" i="3"/>
  <c r="E49" i="3"/>
  <c r="G43" i="3"/>
  <c r="I37" i="3"/>
  <c r="D58" i="3"/>
  <c r="G29" i="3"/>
  <c r="D47" i="3"/>
  <c r="F41" i="3"/>
  <c r="H35" i="3"/>
  <c r="N55" i="3"/>
  <c r="K30" i="3"/>
  <c r="H48" i="3"/>
  <c r="J42" i="3"/>
  <c r="L36" i="3"/>
  <c r="G57" i="3"/>
  <c r="J28" i="3"/>
  <c r="G46" i="3"/>
  <c r="I40" i="3"/>
  <c r="K34" i="3"/>
  <c r="F55" i="3"/>
  <c r="N29" i="3"/>
  <c r="K47" i="3"/>
  <c r="M41" i="3"/>
  <c r="D36" i="3"/>
  <c r="J56" i="3"/>
  <c r="C39" i="3"/>
  <c r="J45" i="3"/>
  <c r="L39" i="3"/>
  <c r="N33" i="3"/>
  <c r="F29" i="3"/>
  <c r="N46" i="3"/>
  <c r="E41" i="3"/>
  <c r="G35" i="3"/>
  <c r="M55" i="3"/>
  <c r="C47" i="3"/>
  <c r="M44" i="3"/>
  <c r="D39" i="3"/>
  <c r="F33" i="3"/>
  <c r="I28" i="3"/>
  <c r="F46" i="3"/>
  <c r="H40" i="3"/>
  <c r="J34" i="3"/>
  <c r="E55" i="3"/>
  <c r="L49" i="3"/>
  <c r="N43" i="3"/>
  <c r="E38" i="3"/>
  <c r="K58" i="3"/>
  <c r="G28" i="3"/>
  <c r="D46" i="3"/>
  <c r="F40" i="3"/>
  <c r="H34" i="3"/>
  <c r="C29" i="3"/>
  <c r="M48" i="3"/>
  <c r="D43" i="3"/>
  <c r="F37" i="3"/>
  <c r="L57" i="3"/>
  <c r="C34" i="3"/>
  <c r="E45" i="3"/>
  <c r="G39" i="3"/>
  <c r="I33" i="3"/>
  <c r="I29" i="3"/>
  <c r="F47" i="3"/>
  <c r="H41" i="3"/>
  <c r="J35" i="3"/>
  <c r="E56" i="3"/>
  <c r="G49" i="3"/>
  <c r="I43" i="3"/>
  <c r="K37" i="3"/>
  <c r="F58" i="3"/>
  <c r="N36" i="3"/>
  <c r="D49" i="3"/>
  <c r="F43" i="3"/>
  <c r="H37" i="3"/>
  <c r="N57" i="3"/>
  <c r="C36" i="3"/>
  <c r="G45" i="3"/>
  <c r="I39" i="3"/>
  <c r="K33" i="3"/>
  <c r="H30" i="3"/>
  <c r="E48" i="3"/>
  <c r="G42" i="3"/>
  <c r="I36" i="3"/>
  <c r="D57" i="3"/>
  <c r="C42" i="3"/>
  <c r="H44" i="3"/>
  <c r="J38" i="3"/>
  <c r="C57" i="3"/>
  <c r="L28" i="3"/>
  <c r="I46" i="3"/>
  <c r="K40" i="3"/>
  <c r="M34" i="3"/>
  <c r="H55" i="3"/>
  <c r="M30" i="3"/>
  <c r="J48" i="3"/>
  <c r="L42" i="3"/>
  <c r="J30" i="3"/>
  <c r="G48" i="3"/>
  <c r="I42" i="3"/>
  <c r="K36" i="3"/>
  <c r="F57" i="3"/>
  <c r="C44" i="3"/>
  <c r="J44" i="3"/>
  <c r="L38" i="3"/>
  <c r="C55" i="3"/>
  <c r="K29" i="3"/>
  <c r="H47" i="3"/>
  <c r="J41" i="3"/>
  <c r="L35" i="3"/>
  <c r="G56" i="3"/>
  <c r="I49" i="3"/>
  <c r="K43" i="3"/>
  <c r="M37" i="3"/>
  <c r="H58" i="3"/>
  <c r="D28" i="3"/>
  <c r="L45" i="3"/>
  <c r="N39" i="3"/>
  <c r="E34" i="3"/>
  <c r="E30" i="3"/>
  <c r="M47" i="3"/>
  <c r="D42" i="3"/>
  <c r="F36" i="3"/>
  <c r="L56" i="3"/>
  <c r="M29" i="3"/>
  <c r="J47" i="3"/>
  <c r="L41" i="3"/>
  <c r="N35" i="3"/>
  <c r="I56" i="3"/>
  <c r="K49" i="3"/>
  <c r="M43" i="3"/>
  <c r="D38" i="3"/>
  <c r="J58" i="3"/>
  <c r="N28" i="3"/>
  <c r="K46" i="3"/>
  <c r="M40" i="3"/>
  <c r="D35" i="3"/>
  <c r="J55" i="3"/>
  <c r="C30" i="3"/>
  <c r="L48" i="3"/>
  <c r="N42" i="3"/>
  <c r="E37" i="3"/>
  <c r="K57" i="3"/>
  <c r="C49" i="3"/>
  <c r="D45" i="3"/>
  <c r="F39" i="3"/>
  <c r="H33" i="3"/>
  <c r="H29" i="3"/>
  <c r="E47" i="3"/>
  <c r="G41" i="3"/>
  <c r="I35" i="3"/>
  <c r="D56" i="3"/>
  <c r="E29" i="3"/>
  <c r="M46" i="3"/>
  <c r="D41" i="3"/>
  <c r="F35" i="3"/>
  <c r="L55" i="3"/>
  <c r="C28" i="3"/>
  <c r="N48" i="3"/>
  <c r="E43" i="3"/>
  <c r="G37" i="3"/>
  <c r="M57" i="3"/>
  <c r="F28" i="3"/>
  <c r="N45" i="3"/>
  <c r="E40" i="3"/>
  <c r="G34" i="3"/>
  <c r="G30" i="3"/>
  <c r="D48" i="3"/>
  <c r="F42" i="3"/>
  <c r="H36" i="3"/>
  <c r="N56" i="3"/>
  <c r="C41" i="3"/>
  <c r="G44" i="3"/>
  <c r="I38" i="3"/>
  <c r="C58" i="3"/>
  <c r="K28" i="3"/>
  <c r="H46" i="3"/>
  <c r="J40" i="3"/>
  <c r="L34" i="3"/>
  <c r="G55" i="3"/>
  <c r="C17" i="3"/>
  <c r="C18" i="3"/>
  <c r="D34" i="3"/>
  <c r="H28" i="3"/>
  <c r="E46" i="3"/>
  <c r="G40" i="3"/>
  <c r="I34" i="3"/>
  <c r="D55" i="3"/>
  <c r="I30" i="3"/>
  <c r="F48" i="3"/>
  <c r="H42" i="3"/>
  <c r="J36" i="3"/>
  <c r="E57" i="3"/>
  <c r="C35" i="3"/>
  <c r="F45" i="3"/>
  <c r="H39" i="3"/>
  <c r="J33" i="3"/>
  <c r="J29" i="3"/>
  <c r="G47" i="3"/>
  <c r="I41" i="3"/>
  <c r="K35" i="3"/>
  <c r="F56" i="3"/>
  <c r="H49" i="3"/>
  <c r="J43" i="3"/>
  <c r="L37" i="3"/>
  <c r="G58" i="3"/>
  <c r="C33" i="3"/>
  <c r="K45" i="3"/>
  <c r="M39" i="3"/>
  <c r="C37" i="3"/>
  <c r="H45" i="3"/>
  <c r="J39" i="3"/>
  <c r="L33" i="3"/>
  <c r="L29" i="3"/>
  <c r="I47" i="3"/>
  <c r="K41" i="3"/>
  <c r="M35" i="3"/>
  <c r="H56" i="3"/>
  <c r="C43" i="3"/>
  <c r="I44" i="3"/>
  <c r="K38" i="3"/>
  <c r="C56" i="3"/>
  <c r="M28" i="3"/>
  <c r="J46" i="3"/>
  <c r="L40" i="3"/>
  <c r="N34" i="3"/>
  <c r="I55" i="3"/>
  <c r="N30" i="3"/>
  <c r="K48" i="3"/>
  <c r="M42" i="3"/>
  <c r="D37" i="3"/>
  <c r="J57" i="3"/>
  <c r="C48" i="3"/>
  <c r="N44" i="3"/>
  <c r="E39" i="3"/>
  <c r="G33" i="3"/>
  <c r="C45" i="3"/>
  <c r="K44" i="3"/>
  <c r="M38" i="3"/>
  <c r="D33" i="3"/>
  <c r="D29" i="3"/>
  <c r="L46" i="3"/>
  <c r="N40" i="3"/>
  <c r="E35" i="3"/>
  <c r="K55" i="3"/>
  <c r="J49" i="3"/>
  <c r="L43" i="3"/>
  <c r="N37" i="3"/>
  <c r="I58" i="3"/>
  <c r="E28" i="3"/>
  <c r="M45" i="3"/>
  <c r="D40" i="3"/>
  <c r="F34" i="3"/>
  <c r="F30" i="3"/>
  <c r="N47" i="3"/>
  <c r="E42" i="3"/>
  <c r="G36" i="3"/>
  <c r="M56" i="3"/>
  <c r="C40" i="3"/>
  <c r="F44" i="3"/>
  <c r="H38" i="3"/>
  <c r="N58" i="3"/>
  <c r="I57" i="3"/>
  <c r="E6" i="1"/>
  <c r="N69" i="3"/>
  <c r="D6" i="1" s="1"/>
  <c r="M69" i="3"/>
  <c r="L69" i="3"/>
  <c r="K69" i="3"/>
  <c r="J69" i="3"/>
  <c r="I69" i="3"/>
  <c r="H69" i="3"/>
  <c r="G69" i="3"/>
  <c r="F69" i="3"/>
  <c r="E69" i="3"/>
  <c r="D69" i="3"/>
  <c r="C69" i="3"/>
  <c r="O68" i="3"/>
  <c r="O52" i="3"/>
  <c r="O51" i="3"/>
  <c r="F14" i="3"/>
  <c r="E14" i="3"/>
  <c r="D14" i="3"/>
  <c r="I23" i="3" l="1"/>
  <c r="I26" i="3" s="1"/>
  <c r="J23" i="3"/>
  <c r="J26" i="3" s="1"/>
  <c r="G23" i="3"/>
  <c r="G26" i="3" s="1"/>
  <c r="O20" i="3"/>
  <c r="D59" i="3"/>
  <c r="D23" i="3"/>
  <c r="D26" i="3" s="1"/>
  <c r="M23" i="3"/>
  <c r="M26" i="3" s="1"/>
  <c r="K31" i="3"/>
  <c r="C59" i="3"/>
  <c r="O21" i="3"/>
  <c r="L23" i="3"/>
  <c r="L26" i="3" s="1"/>
  <c r="H23" i="3"/>
  <c r="H26" i="3" s="1"/>
  <c r="H59" i="3"/>
  <c r="E59" i="3"/>
  <c r="M59" i="3"/>
  <c r="O18" i="3"/>
  <c r="N59" i="3"/>
  <c r="M31" i="3"/>
  <c r="L59" i="3"/>
  <c r="E31" i="3"/>
  <c r="O73" i="3"/>
  <c r="O29" i="3"/>
  <c r="J6" i="1"/>
  <c r="K59" i="3"/>
  <c r="J59" i="3"/>
  <c r="F59" i="3"/>
  <c r="N31" i="3"/>
  <c r="H31" i="3"/>
  <c r="O22" i="3"/>
  <c r="O25" i="3"/>
  <c r="O24" i="3"/>
  <c r="O40" i="3"/>
  <c r="G59" i="3"/>
  <c r="O55" i="3"/>
  <c r="O48" i="3"/>
  <c r="C31" i="3"/>
  <c r="O62" i="3"/>
  <c r="O63" i="3"/>
  <c r="O45" i="3"/>
  <c r="O39" i="3"/>
  <c r="O49" i="3"/>
  <c r="O41" i="3"/>
  <c r="O36" i="3"/>
  <c r="O34" i="3"/>
  <c r="O37" i="3"/>
  <c r="O43" i="3"/>
  <c r="O35" i="3"/>
  <c r="O44" i="3"/>
  <c r="O42" i="3"/>
  <c r="O47" i="3"/>
  <c r="O46" i="3"/>
  <c r="O38" i="3"/>
  <c r="O69" i="3"/>
  <c r="C50" i="3"/>
  <c r="C53" i="3" s="1"/>
  <c r="F31" i="3"/>
  <c r="K23" i="3"/>
  <c r="K26" i="3" s="1"/>
  <c r="D31" i="3"/>
  <c r="G31" i="3"/>
  <c r="N50" i="3"/>
  <c r="N53" i="3" s="1"/>
  <c r="E50" i="3"/>
  <c r="E53" i="3" s="1"/>
  <c r="M50" i="3"/>
  <c r="M53" i="3" s="1"/>
  <c r="F23" i="3"/>
  <c r="F26" i="3" s="1"/>
  <c r="O14" i="3"/>
  <c r="G50" i="3"/>
  <c r="G53" i="3" s="1"/>
  <c r="H50" i="3"/>
  <c r="H53" i="3" s="1"/>
  <c r="D50" i="3"/>
  <c r="D53" i="3" s="1"/>
  <c r="L50" i="3"/>
  <c r="L53" i="3" s="1"/>
  <c r="K50" i="3"/>
  <c r="K53" i="3" s="1"/>
  <c r="I50" i="3"/>
  <c r="I53" i="3" s="1"/>
  <c r="E23" i="3"/>
  <c r="E26" i="3" s="1"/>
  <c r="N23" i="3"/>
  <c r="N26" i="3" s="1"/>
  <c r="J50" i="3"/>
  <c r="J53" i="3" s="1"/>
  <c r="C23" i="3"/>
  <c r="C26" i="3" s="1"/>
  <c r="L31" i="3"/>
  <c r="I31" i="3"/>
  <c r="F50" i="3"/>
  <c r="F53" i="3" s="1"/>
  <c r="J31" i="3"/>
  <c r="O17" i="3"/>
  <c r="O57" i="3"/>
  <c r="O30" i="3"/>
  <c r="O58" i="3"/>
  <c r="I59" i="3"/>
  <c r="O28" i="3"/>
  <c r="O33" i="3"/>
  <c r="O19" i="3"/>
  <c r="O56" i="3"/>
  <c r="I9" i="1"/>
  <c r="G12" i="1"/>
  <c r="F9" i="1"/>
  <c r="D11" i="1"/>
  <c r="D9" i="1"/>
  <c r="E13" i="1"/>
  <c r="E12" i="1"/>
  <c r="F11" i="1"/>
  <c r="I10" i="1"/>
  <c r="H10" i="1"/>
  <c r="F13" i="1"/>
  <c r="H11" i="1"/>
  <c r="F12" i="1"/>
  <c r="H12" i="1"/>
  <c r="F10" i="1"/>
  <c r="F14" i="1"/>
  <c r="D12" i="1"/>
  <c r="D13" i="1"/>
  <c r="E14" i="1"/>
  <c r="I13" i="1"/>
  <c r="H13" i="1"/>
  <c r="I11" i="1"/>
  <c r="G9" i="1"/>
  <c r="H9" i="1"/>
  <c r="I12" i="1"/>
  <c r="G10" i="1"/>
  <c r="D14" i="1"/>
  <c r="G14" i="1"/>
  <c r="G13" i="1"/>
  <c r="E11" i="1"/>
  <c r="D10" i="1"/>
  <c r="E9" i="1"/>
  <c r="I14" i="1"/>
  <c r="G11" i="1"/>
  <c r="H14" i="1"/>
  <c r="D60" i="3" l="1"/>
  <c r="D64" i="3" s="1"/>
  <c r="D70" i="3" s="1"/>
  <c r="M60" i="3"/>
  <c r="M64" i="3" s="1"/>
  <c r="M70" i="3" s="1"/>
  <c r="K11" i="1"/>
  <c r="F5" i="1"/>
  <c r="K5" i="1" s="1"/>
  <c r="L5" i="1" s="1"/>
  <c r="F6" i="1"/>
  <c r="K6" i="1" s="1"/>
  <c r="L6" i="1" s="1"/>
  <c r="F15" i="1"/>
  <c r="K15" i="1" s="1"/>
  <c r="K14" i="1"/>
  <c r="L14" i="1" s="1"/>
  <c r="K10" i="1"/>
  <c r="K9" i="1"/>
  <c r="L9" i="1" s="1"/>
  <c r="K13" i="1"/>
  <c r="L13" i="1" s="1"/>
  <c r="K12" i="1"/>
  <c r="L12" i="1" s="1"/>
  <c r="D15" i="1"/>
  <c r="I15" i="1"/>
  <c r="I16" i="1" s="1"/>
  <c r="I17" i="1" s="1"/>
  <c r="D72" i="3"/>
  <c r="D74" i="3" s="1"/>
  <c r="H72" i="3"/>
  <c r="H74" i="3" s="1"/>
  <c r="J72" i="3"/>
  <c r="J74" i="3" s="1"/>
  <c r="I72" i="3"/>
  <c r="I74" i="3" s="1"/>
  <c r="L72" i="3"/>
  <c r="L74" i="3" s="1"/>
  <c r="M72" i="3"/>
  <c r="M74" i="3" s="1"/>
  <c r="C72" i="3"/>
  <c r="C74" i="3" s="1"/>
  <c r="G72" i="3"/>
  <c r="G74" i="3" s="1"/>
  <c r="N72" i="3"/>
  <c r="N74" i="3" s="1"/>
  <c r="E72" i="3"/>
  <c r="E74" i="3" s="1"/>
  <c r="F72" i="3"/>
  <c r="F74" i="3" s="1"/>
  <c r="K72" i="3"/>
  <c r="K74" i="3" s="1"/>
  <c r="J12" i="1"/>
  <c r="E60" i="3"/>
  <c r="E64" i="3" s="1"/>
  <c r="E70" i="3" s="1"/>
  <c r="J14" i="1"/>
  <c r="J13" i="1"/>
  <c r="J9" i="1"/>
  <c r="J11" i="1"/>
  <c r="J60" i="3"/>
  <c r="J64" i="3" s="1"/>
  <c r="J70" i="3" s="1"/>
  <c r="F60" i="3"/>
  <c r="F64" i="3" s="1"/>
  <c r="F70" i="3" s="1"/>
  <c r="H60" i="3"/>
  <c r="H64" i="3" s="1"/>
  <c r="H70" i="3" s="1"/>
  <c r="C60" i="3"/>
  <c r="C64" i="3" s="1"/>
  <c r="C70" i="3" s="1"/>
  <c r="N60" i="3"/>
  <c r="N64" i="3" s="1"/>
  <c r="I60" i="3"/>
  <c r="I64" i="3" s="1"/>
  <c r="I70" i="3" s="1"/>
  <c r="K60" i="3"/>
  <c r="K64" i="3" s="1"/>
  <c r="K70" i="3" s="1"/>
  <c r="L60" i="3"/>
  <c r="L64" i="3" s="1"/>
  <c r="L70" i="3" s="1"/>
  <c r="G60" i="3"/>
  <c r="G64" i="3" s="1"/>
  <c r="G70" i="3" s="1"/>
  <c r="O31" i="3"/>
  <c r="O23" i="3"/>
  <c r="O50" i="3"/>
  <c r="O53" i="3" s="1"/>
  <c r="O59" i="3"/>
  <c r="H7" i="1"/>
  <c r="G7" i="1"/>
  <c r="F7" i="1"/>
  <c r="I7" i="1"/>
  <c r="E7" i="1"/>
  <c r="D7" i="1"/>
  <c r="N70" i="3" l="1"/>
  <c r="O70" i="3" s="1"/>
  <c r="O64" i="3"/>
  <c r="F16" i="1"/>
  <c r="F17" i="1" s="1"/>
  <c r="K7" i="1"/>
  <c r="K8" i="1" s="1"/>
  <c r="O26" i="3"/>
  <c r="O60" i="3" s="1"/>
  <c r="K16" i="1"/>
  <c r="L11" i="1"/>
  <c r="D16" i="1"/>
  <c r="D8" i="1"/>
  <c r="O72" i="3" l="1"/>
  <c r="O74" i="3" s="1"/>
  <c r="G15" i="1"/>
  <c r="G16" i="1" s="1"/>
  <c r="G17" i="1" s="1"/>
  <c r="J7" i="1"/>
  <c r="L7" i="1"/>
  <c r="K17" i="1"/>
  <c r="E8" i="1"/>
  <c r="J8" i="1" s="1"/>
  <c r="D17" i="1"/>
  <c r="L8" i="1" l="1"/>
  <c r="E10" i="1"/>
  <c r="J10" i="1" l="1"/>
  <c r="L10" i="1"/>
  <c r="E15" i="1" l="1"/>
  <c r="J15" i="1" s="1"/>
  <c r="H15" i="1" l="1"/>
  <c r="H16" i="1" s="1"/>
  <c r="H17" i="1" s="1"/>
  <c r="L15" i="1"/>
  <c r="E16" i="1"/>
  <c r="J16" i="1" l="1"/>
  <c r="L16" i="1"/>
  <c r="E17" i="1"/>
  <c r="J17" i="1" l="1"/>
  <c r="L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Saulo Freire</author>
  </authors>
  <commentList>
    <comment ref="I1431" authorId="0" shapeId="0" xr:uid="{00000000-0006-0000-0400-000001000000}">
      <text>
        <r>
          <rPr>
            <b/>
            <sz val="9"/>
            <color indexed="81"/>
            <rFont val="Segoe UI"/>
            <family val="2"/>
          </rPr>
          <t>MINI GELADEIRA PORTATIL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1432" authorId="0" shapeId="0" xr:uid="{00000000-0006-0000-0400-000002000000}">
      <text>
        <r>
          <rPr>
            <b/>
            <sz val="9"/>
            <color indexed="81"/>
            <rFont val="Segoe UI"/>
            <family val="2"/>
          </rPr>
          <t>LEITOR CODIGO BARRA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<sst xmlns="http://schemas.openxmlformats.org/spreadsheetml/2006/main" count="10783" uniqueCount="1605">
  <si>
    <t>Organização Social INSTITUTO IBGH / HEELJ</t>
  </si>
  <si>
    <t>Comparativo Fluxo de Caixa</t>
  </si>
  <si>
    <t xml:space="preserve"> Receitas X Despesas</t>
  </si>
  <si>
    <t>CONTA</t>
  </si>
  <si>
    <t>% A.H.</t>
  </si>
  <si>
    <t>SALDO INICIAL EM CONTA</t>
  </si>
  <si>
    <r>
      <rPr>
        <sz val="10"/>
        <color rgb="FF000000"/>
        <rFont val="Cambria"/>
        <family val="1"/>
      </rPr>
      <t xml:space="preserve">SALDO FINAL EM CONTA </t>
    </r>
    <r>
      <rPr>
        <sz val="8"/>
        <color rgb="FFFF0000"/>
        <rFont val="Cambria"/>
        <family val="1"/>
      </rPr>
      <t>(1)</t>
    </r>
  </si>
  <si>
    <t>RECEITA DO EXERCÍCIO</t>
  </si>
  <si>
    <t>(+)</t>
  </si>
  <si>
    <r>
      <rPr>
        <sz val="10"/>
        <color rgb="FF000000"/>
        <rFont val="Cambria"/>
        <family val="1"/>
      </rPr>
      <t xml:space="preserve">Total da Receita </t>
    </r>
    <r>
      <rPr>
        <sz val="8"/>
        <color rgb="FFFF0000"/>
        <rFont val="Cambria"/>
        <family val="1"/>
      </rPr>
      <t xml:space="preserve">(2) </t>
    </r>
  </si>
  <si>
    <t>Investimentos</t>
  </si>
  <si>
    <t>(-)</t>
  </si>
  <si>
    <t>Despesas de Pessoal + Encargos</t>
  </si>
  <si>
    <t>Rescisões Trabalhistas</t>
  </si>
  <si>
    <t>Despesas com Serviços</t>
  </si>
  <si>
    <t>Despesas com Materiais</t>
  </si>
  <si>
    <t>Tributos, taxas e contribuições</t>
  </si>
  <si>
    <t>Demais Despesas</t>
  </si>
  <si>
    <r>
      <rPr>
        <sz val="10"/>
        <color rgb="FF000000"/>
        <rFont val="Cambria"/>
        <family val="1"/>
      </rPr>
      <t xml:space="preserve">Total da Despesa </t>
    </r>
    <r>
      <rPr>
        <sz val="8"/>
        <color rgb="FFFF0000"/>
        <rFont val="Cambria"/>
        <family val="1"/>
      </rPr>
      <t>(3)</t>
    </r>
  </si>
  <si>
    <t>RESULTADO DO EXERCÍCIO</t>
  </si>
  <si>
    <t>(=)</t>
  </si>
  <si>
    <t xml:space="preserve">(2) Todas as Receitas descritas no fluxo de caixa, exceto as despesas oriundas de repasses não governamentais e por convênios e demais ajutes </t>
  </si>
  <si>
    <t>(3) Despesa de pessoal as despesas propriamente descrita no fluxo de caixa além de, encargos e recisões.</t>
  </si>
  <si>
    <t>Sugestões de análise</t>
  </si>
  <si>
    <r>
      <rPr>
        <sz val="10"/>
        <color rgb="FF000000"/>
        <rFont val="Cambria"/>
        <family val="1"/>
      </rPr>
      <t>&gt; Divergência de saldo final no período referente a prestação de contas de 2017 com o saldo inicial da prestação de contas de 2018.                                   &gt; Ausência</t>
    </r>
    <r>
      <rPr>
        <sz val="10"/>
        <color rgb="FF000000"/>
        <rFont val="Calibri"/>
        <family val="2"/>
      </rPr>
      <t xml:space="preserve"> de informações referente ao período de outubro de 2015 a setembro de 2016.                                                                                                      &gt; Elaboração de comparativo de ações trabalhistas, fonte (certidão de débitos trabalhistas), o que gera prejuízo para o estado com bloqueio judiciais. </t>
    </r>
  </si>
  <si>
    <t>QUANTITATIVO DE PESSOAL</t>
  </si>
  <si>
    <t>VAR %</t>
  </si>
  <si>
    <t>Dirigentes</t>
  </si>
  <si>
    <t>funcionários CLT</t>
  </si>
  <si>
    <t>Servidores Estatutários</t>
  </si>
  <si>
    <t>TOTAL</t>
  </si>
  <si>
    <t>Nº enfermeiro</t>
  </si>
  <si>
    <t>Nº funcionários(as) enfermagem</t>
  </si>
  <si>
    <t>Nº todos funcionários(as)</t>
  </si>
  <si>
    <t>nº de médicos(as)</t>
  </si>
  <si>
    <t>Nº total de médicos especialistas</t>
  </si>
  <si>
    <t>Nº Leito operacional</t>
  </si>
  <si>
    <t>PRESTAÇÃO DE CONTAS INST. IBGH/HEELJ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</si>
  <si>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</si>
  <si>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</si>
  <si>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</si>
  <si>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</si>
  <si>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</si>
  <si>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</si>
  <si>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</si>
  <si>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</si>
  <si>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</si>
  <si>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</si>
  <si>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</si>
  <si>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</si>
  <si>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A – SALDO ANTERIOR</t>
  </si>
  <si>
    <t>Banco Conta Movimento</t>
  </si>
  <si>
    <t>Banco Conta Aplicação Financeira (*)</t>
  </si>
  <si>
    <t>Fundo para férias(*)</t>
  </si>
  <si>
    <t>Caixa</t>
  </si>
  <si>
    <t>Cheque a compensar (-)</t>
  </si>
  <si>
    <t>1 – TOTAL DE SALDO ANTERIOR</t>
  </si>
  <si>
    <t>ENTRADAS EM CONTA CORRENTE</t>
  </si>
  <si>
    <t>DESCRIÇÃO</t>
  </si>
  <si>
    <t>Repasses Contrato de Gestão</t>
  </si>
  <si>
    <t>Rendimentos sobre Aplicações Financeiras</t>
  </si>
  <si>
    <t>Recuperação de Despesas</t>
  </si>
  <si>
    <t>Aporte para Caixa (+)</t>
  </si>
  <si>
    <t>Outras entradas (desbloqueio judicial)</t>
  </si>
  <si>
    <t>Receitas Não Governamentais (Doações, vendas, alugueis e outros)</t>
  </si>
  <si>
    <t>SUBTOTAL DE ENTRADAS:</t>
  </si>
  <si>
    <t>Resgates Aplicação Financeira</t>
  </si>
  <si>
    <t>Receita com Vendas</t>
  </si>
  <si>
    <t>2 – TOTAL DE ENTRADAS</t>
  </si>
  <si>
    <t>APLICAÇÃO FINANCEIRA</t>
  </si>
  <si>
    <t>ENTRADA CONTA APLICAÇÃO (+)</t>
  </si>
  <si>
    <t>SAÍDAS DA C/A POR REGATES (-)</t>
  </si>
  <si>
    <t>IRRF/IOF S/APLICAÇÃO FINANCEIRA</t>
  </si>
  <si>
    <t>3 – RESULTADO MOV. FIN. EM C/ APLICAÇÃO</t>
  </si>
  <si>
    <t>GASTOS/TRANSFERÊNCIAS</t>
  </si>
  <si>
    <t>Pessoal</t>
  </si>
  <si>
    <t>Serviços</t>
  </si>
  <si>
    <t>Materiais</t>
  </si>
  <si>
    <t>Concessionárias (água, luz e telefone)</t>
  </si>
  <si>
    <t>Tributos, Taxas e Contribuições</t>
  </si>
  <si>
    <t>Outras Saídas</t>
  </si>
  <si>
    <t>Recibo de Pagamento a Autônomo/Diária</t>
  </si>
  <si>
    <t>Reembolso de Rateios(-)</t>
  </si>
  <si>
    <t>Despesas com Viagens</t>
  </si>
  <si>
    <t>Pensões Alimentícias</t>
  </si>
  <si>
    <t>Aluguéis</t>
  </si>
  <si>
    <t>Devolução de Verba</t>
  </si>
  <si>
    <t>Encargos sobre Folha de Pagamento</t>
  </si>
  <si>
    <t>Reembolso de Despesas</t>
  </si>
  <si>
    <t>Diárias</t>
  </si>
  <si>
    <t>SUBTOTAL (GASTOS)</t>
  </si>
  <si>
    <t>4 – TOTAL DE GASTOS:</t>
  </si>
  <si>
    <t>TRANSFERÊNCIAS</t>
  </si>
  <si>
    <t>Transferências da c/c para c/a ou c/p (-)</t>
  </si>
  <si>
    <t>Aporte para Caixa (-)</t>
  </si>
  <si>
    <t>Bloqueio Judicial (-)</t>
  </si>
  <si>
    <t>Caução para Fornecedores (-)</t>
  </si>
  <si>
    <t>5 – TOTAL TRANSF P/ APLICAÇÃO ou POUPANÇA</t>
  </si>
  <si>
    <t>6 – SALDO FINAL NO PERÍODO (1+2+3-4-5)</t>
  </si>
  <si>
    <t>MOVIMENTAÇÃO FINANCEIRA SEM ALTERAÇÃO NO SALDO BANCÁRIO</t>
  </si>
  <si>
    <t>TEV – Transferências Entre Contas (Entradas)</t>
  </si>
  <si>
    <t>TEV – Transferências Entre Contas (Saídas)</t>
  </si>
  <si>
    <t>SALDO BANCÁRIO</t>
  </si>
  <si>
    <t>Banco Conta Aplicação</t>
  </si>
  <si>
    <t>Fundo para  Férias</t>
  </si>
  <si>
    <t>SALDO TOTAL</t>
  </si>
  <si>
    <t>DIFERENÇA (SALDO DO FINAL X EXTRATO)</t>
  </si>
  <si>
    <t>Origem dos dados: Relatório mensal comparativo de recursos recebidos, gastos e devolvidos ao Poder Público - SITE TRANSPARÊNCIA GOIÁS</t>
  </si>
  <si>
    <t>DE</t>
  </si>
  <si>
    <t>PARA</t>
  </si>
  <si>
    <t>Serviços Terceirizados - Diretos</t>
  </si>
  <si>
    <t>Serviços de Lavanderia</t>
  </si>
  <si>
    <t>Serviços Terceirizados - Indiretos</t>
  </si>
  <si>
    <t>Limpeza e Conservação</t>
  </si>
  <si>
    <t>Serviços de Refeições</t>
  </si>
  <si>
    <t>Outras despesas com Serviço</t>
  </si>
  <si>
    <t>Banco de Dados Realizado</t>
  </si>
  <si>
    <t>Banco</t>
  </si>
  <si>
    <t>Filial</t>
  </si>
  <si>
    <t>Valor</t>
  </si>
  <si>
    <t>CEF194-9</t>
  </si>
  <si>
    <t>Transferencias entre conta</t>
  </si>
  <si>
    <t>FGTS</t>
  </si>
  <si>
    <t>RESCISAO</t>
  </si>
  <si>
    <t>Rescisões/GRRF</t>
  </si>
  <si>
    <t>FÉRIAS</t>
  </si>
  <si>
    <t>PEDRO MAURO DE ALMEIDA</t>
  </si>
  <si>
    <t>Férias</t>
  </si>
  <si>
    <t>ROBERTO LEANDRO DE CARVALHO GARCIA</t>
  </si>
  <si>
    <t>Despesas Bancárias</t>
  </si>
  <si>
    <t>CRED.AUTOR</t>
  </si>
  <si>
    <t>CEF193-0</t>
  </si>
  <si>
    <t>PIR</t>
  </si>
  <si>
    <t>FOLHA</t>
  </si>
  <si>
    <t>CHEQ COMP</t>
  </si>
  <si>
    <t>Folha de Pagamento</t>
  </si>
  <si>
    <t>TAR</t>
  </si>
  <si>
    <t>DEVOL/TED</t>
  </si>
  <si>
    <t>Sistema Informatizado e Sofware</t>
  </si>
  <si>
    <t>FORN</t>
  </si>
  <si>
    <t>DINAMUS SOLUCOES TECNOLOGICAS LTDA</t>
  </si>
  <si>
    <t>DUELAV LAVANDERIAS</t>
  </si>
  <si>
    <t>TELEFONE</t>
  </si>
  <si>
    <t>PAG FONE - OI FIXO</t>
  </si>
  <si>
    <t>Telefone e Internet Fixo</t>
  </si>
  <si>
    <t>SAMISSA TELECOM</t>
  </si>
  <si>
    <t>AGUA</t>
  </si>
  <si>
    <t>SANEAGO CIA SAN GOIAS</t>
  </si>
  <si>
    <t>Agua e Saneamento</t>
  </si>
  <si>
    <t>DOC/TEDINTERNET</t>
  </si>
  <si>
    <t>Genero Alimenticios</t>
  </si>
  <si>
    <t>CHEQUE</t>
  </si>
  <si>
    <t>FUNDO FIXO</t>
  </si>
  <si>
    <t>Caixa Administrativo</t>
  </si>
  <si>
    <t>APORTE</t>
  </si>
  <si>
    <t>ENERGIA</t>
  </si>
  <si>
    <t>CELG CENT ELET GOIAAS</t>
  </si>
  <si>
    <t>Energia e Gerador</t>
  </si>
  <si>
    <t>CIENTIFICA MEDICINA HOSPITALAR</t>
  </si>
  <si>
    <t>Medicamentos/Correlatos</t>
  </si>
  <si>
    <t>SOBRE FOLHA</t>
  </si>
  <si>
    <t>DISTRIBUIDORA BRASIL COML PROD MED HOSP LTDA</t>
  </si>
  <si>
    <t>DEVOL TED</t>
  </si>
  <si>
    <t>ENVIO TED</t>
  </si>
  <si>
    <t>ISS</t>
  </si>
  <si>
    <t>FIEL ADMINISTRACAO E SERVICOS LTDA</t>
  </si>
  <si>
    <t>PAPELARIA TRIBUTARIA LTDA</t>
  </si>
  <si>
    <t>Material de Expediente</t>
  </si>
  <si>
    <t xml:space="preserve">Extras </t>
  </si>
  <si>
    <t>Manutenção de Equipamentos</t>
  </si>
  <si>
    <t>SETMAIER ENGENHARIA E CONSULTORIA LTDA</t>
  </si>
  <si>
    <t>Manutenção Predial</t>
  </si>
  <si>
    <t>TOTAL VIGILANCIA E SEGURANCA LTDA</t>
  </si>
  <si>
    <t>Segurança e Monitoramento</t>
  </si>
  <si>
    <t>DARF</t>
  </si>
  <si>
    <t>ACTION CONS PART LTDA</t>
  </si>
  <si>
    <t>BRASILCARD ADMINISTRADORA CARTOES LTDA</t>
  </si>
  <si>
    <t>Combustivel</t>
  </si>
  <si>
    <t>FGA SERVICOS MEDICOS LTDA</t>
  </si>
  <si>
    <t>MW DISTRIBUIDORA DE MEDICAMENTOS</t>
  </si>
  <si>
    <t>Engenharia Clinica/Manutenções</t>
  </si>
  <si>
    <t>Telefone e internet Movel</t>
  </si>
  <si>
    <t>PLANISA PLAN E ORG DE SAUDE</t>
  </si>
  <si>
    <t>PROTEC PROD CIETIFICOS LTDA</t>
  </si>
  <si>
    <t>GPS</t>
  </si>
  <si>
    <t>Encargos FEDERAIS</t>
  </si>
  <si>
    <t>INSS</t>
  </si>
  <si>
    <t>SOCRAM MAQUINAS E APARELHOS EQUIP LTDA</t>
  </si>
  <si>
    <t>TOCA DOS PLASTICOS</t>
  </si>
  <si>
    <t>Material de EPI</t>
  </si>
  <si>
    <t>WORK7 AUDITORES INDEPENDENTES</t>
  </si>
  <si>
    <t>Contabilidade e Auditoria</t>
  </si>
  <si>
    <t>Outras despesas com Material</t>
  </si>
  <si>
    <t>ALL TURISMO LTDA</t>
  </si>
  <si>
    <t>Agencia de Turismo</t>
  </si>
  <si>
    <t>ALVARENGA E SILVA AUTO PEÇAS</t>
  </si>
  <si>
    <t>Material de Construção</t>
  </si>
  <si>
    <t>CREDITO</t>
  </si>
  <si>
    <t>DIRECTA COM SERV E SOLUCOES LTDA</t>
  </si>
  <si>
    <t>REEMBOLSO</t>
  </si>
  <si>
    <t>ELIEZER DA COSTA REZENDE</t>
  </si>
  <si>
    <t>EUDES PINA FORZANI ME</t>
  </si>
  <si>
    <t>EVOLUCAO ASSESSORIA E CONSULTORIA EMPRESARIAL</t>
  </si>
  <si>
    <t>FIEL LOCADORA DE VEICULOS BLINDADOS LTDA</t>
  </si>
  <si>
    <t>Locação de Veiculos</t>
  </si>
  <si>
    <t>KASANE COMUNICACAO INTELIGENTE LTDA</t>
  </si>
  <si>
    <t>Comunicação e Marketing</t>
  </si>
  <si>
    <t>MARKI COMUNICACAO E MARKETING LTDA</t>
  </si>
  <si>
    <t>MEDLINN HOSPITALAR LTDA</t>
  </si>
  <si>
    <t xml:space="preserve">MORAIS SOUZA </t>
  </si>
  <si>
    <t>Outros Investimentos</t>
  </si>
  <si>
    <t>NOBEL ENERGIA E EVENTOS LTDA</t>
  </si>
  <si>
    <t>PROMEDICO GESTAO HOSPITALAR</t>
  </si>
  <si>
    <t>RM HOSPITALAR LTDA</t>
  </si>
  <si>
    <t>SANOLI INDUSTRICA E COMERCIO DE ALIMENTOS</t>
  </si>
  <si>
    <t>SANTIAGO E SANTIAGO PAPELARIA LTDA</t>
  </si>
  <si>
    <t>SIMONE E RIBEIRO LTDA</t>
  </si>
  <si>
    <t>TEMOTEO E AFONSO LTDA</t>
  </si>
  <si>
    <t>WDM DIAGN COML PREST SERV MED HOSP LAB</t>
  </si>
  <si>
    <t>COMERCIAL CIRURGICA RIOCLARENSELTDA</t>
  </si>
  <si>
    <t>E QUALITY SOLUCOES E ENGENHARIA LTDA</t>
  </si>
  <si>
    <t>GILBERTO SILVA</t>
  </si>
  <si>
    <t>GRACILENE ROCHA MARINHO ME</t>
  </si>
  <si>
    <t>Material Grafico</t>
  </si>
  <si>
    <t>NUTRI E QUALI COMERCIAL LTDA</t>
  </si>
  <si>
    <t>PIREGAS OXIGENIO E EMBALAGENS PIRENEUS LTDA</t>
  </si>
  <si>
    <t>PIRENOPOLIS COMBUSTIVEIS LTDA</t>
  </si>
  <si>
    <t>ROGERIO JOSE NAVES</t>
  </si>
  <si>
    <t>NF-155</t>
  </si>
  <si>
    <t>STOCK COMERCIAL HOSPITALAR LTDA</t>
  </si>
  <si>
    <t>SANDRO AUTOPECAS E SERVICOS LTDA</t>
  </si>
  <si>
    <t>Manutenção de Veiculos</t>
  </si>
  <si>
    <t>ANTONIO LEONARDO G LEITE</t>
  </si>
  <si>
    <t>GAMMA X RADIOPROTECAO LTDA</t>
  </si>
  <si>
    <t>JACILDA DE OLIVEIRA PARREIRA</t>
  </si>
  <si>
    <t>LOCALIZA RENT A CAR</t>
  </si>
  <si>
    <t>MANUT CTA</t>
  </si>
  <si>
    <t>NF-157</t>
  </si>
  <si>
    <t>APL193-0</t>
  </si>
  <si>
    <t>RENDIMENTOS</t>
  </si>
  <si>
    <t>Receita Financeira</t>
  </si>
  <si>
    <t>BOLETO</t>
  </si>
  <si>
    <t>LOCAWEB SERVICOS DE INTERNET LT S.A.</t>
  </si>
  <si>
    <t>RESCISÃO</t>
  </si>
  <si>
    <t>MAIANNY FERREIRA DE SOUZA</t>
  </si>
  <si>
    <t>CYNTIA PEREIRA SIQUEIRA</t>
  </si>
  <si>
    <t>PROGRAMA NACIONAL DE CONTROLE DE QUALIDADE</t>
  </si>
  <si>
    <t xml:space="preserve">FOLHA DE PAGAMENTO </t>
  </si>
  <si>
    <t>MARILENE ARAUJO BARBOSA</t>
  </si>
  <si>
    <t>CEF141-8</t>
  </si>
  <si>
    <t>FGTS SOBRE FOLHA</t>
  </si>
  <si>
    <t>CAN DB ACC</t>
  </si>
  <si>
    <t>RPA</t>
  </si>
  <si>
    <t>ALYNE BORGES AMORIM</t>
  </si>
  <si>
    <t>POLYANA SIQUEIRA SANTOSS</t>
  </si>
  <si>
    <t>THIAGO JABER RIOIS</t>
  </si>
  <si>
    <t>DHIOGO SERONNI CARVALHO</t>
  </si>
  <si>
    <t>PROTESTO</t>
  </si>
  <si>
    <t xml:space="preserve">FERNADO POMPEU DA PINA </t>
  </si>
  <si>
    <t>ISS-RPA</t>
  </si>
  <si>
    <t>NF-434452</t>
  </si>
  <si>
    <t>FATURA</t>
  </si>
  <si>
    <t>DEV-TED</t>
  </si>
  <si>
    <t>NF-28179</t>
  </si>
  <si>
    <t>NF-27510</t>
  </si>
  <si>
    <t>NF-28235</t>
  </si>
  <si>
    <t>NF-28208</t>
  </si>
  <si>
    <t>NF-191804</t>
  </si>
  <si>
    <t>NF-191714</t>
  </si>
  <si>
    <t>NF-191782</t>
  </si>
  <si>
    <t>NF-586</t>
  </si>
  <si>
    <t>BR GAAP ASSESSORIA EMPRESARIAL EIRELI ME</t>
  </si>
  <si>
    <t>NF-28664</t>
  </si>
  <si>
    <t xml:space="preserve">DARF-NF45  </t>
  </si>
  <si>
    <t>DARF-NF49</t>
  </si>
  <si>
    <t>DARF-NF52</t>
  </si>
  <si>
    <t>DARF-NF16</t>
  </si>
  <si>
    <t>GPS-1313</t>
  </si>
  <si>
    <t>DARF-NF1313</t>
  </si>
  <si>
    <t>DARF-NF1300</t>
  </si>
  <si>
    <t>GPS SOBRE FOLHA</t>
  </si>
  <si>
    <t>DARF-NF62998</t>
  </si>
  <si>
    <t>INDCOM AMBIENTAL LTDA</t>
  </si>
  <si>
    <t>IRRF</t>
  </si>
  <si>
    <t>IRRF COMPLEMENTAR SOBRE FOLHA</t>
  </si>
  <si>
    <t>IRRF SOBRE FOLHA</t>
  </si>
  <si>
    <t>IRRF SOBRE FOLHA - 13 SAL</t>
  </si>
  <si>
    <t>IRRF SOBRE FOLHA - AUTONOMO</t>
  </si>
  <si>
    <t>GPS-NF13</t>
  </si>
  <si>
    <t>NF-4536</t>
  </si>
  <si>
    <t>NET TURBO TELECOM LTDA</t>
  </si>
  <si>
    <t>OI FIXO FAT473200</t>
  </si>
  <si>
    <t>OI FIXO FAT 473188</t>
  </si>
  <si>
    <t>PIS</t>
  </si>
  <si>
    <t>PIS SOBRE FOLHA</t>
  </si>
  <si>
    <t>PIS SOBRE FOLHA - 13 SAL</t>
  </si>
  <si>
    <t>DARF-NF12169</t>
  </si>
  <si>
    <t>DARF-NF12762</t>
  </si>
  <si>
    <t>DARF-NF34</t>
  </si>
  <si>
    <t>GPS-NF2759</t>
  </si>
  <si>
    <t>DARF-NF2711</t>
  </si>
  <si>
    <t>DARF-NF2759</t>
  </si>
  <si>
    <t>DARF-NF2760</t>
  </si>
  <si>
    <t>DARF-NF2712</t>
  </si>
  <si>
    <t>DARF-NF38</t>
  </si>
  <si>
    <t>WORK AUDITORES INDEP SS ME</t>
  </si>
  <si>
    <t>NF-62998</t>
  </si>
  <si>
    <t>NF-12388</t>
  </si>
  <si>
    <t>NF-12762</t>
  </si>
  <si>
    <t>NF-265545</t>
  </si>
  <si>
    <t>NF-265508</t>
  </si>
  <si>
    <t>NF-264530</t>
  </si>
  <si>
    <t>NF-567</t>
  </si>
  <si>
    <t>A&amp;C LABOT ASSISTENCIA TECNICA</t>
  </si>
  <si>
    <t>NF-317591</t>
  </si>
  <si>
    <t>NF-42181</t>
  </si>
  <si>
    <t>DROGARIA GENERICA LTDA</t>
  </si>
  <si>
    <t>Aquisição de Bens e Equipamentos</t>
  </si>
  <si>
    <t>DOC E DEV - A &amp; C LABOR</t>
  </si>
  <si>
    <t>LAZARA S DE MORAIS BARBOSA</t>
  </si>
  <si>
    <t>A &amp; LABOR</t>
  </si>
  <si>
    <t>ANA MARIA DE SÁ</t>
  </si>
  <si>
    <t>CONCEICAO APARECIDA DOS ANJOS</t>
  </si>
  <si>
    <t>ESCRITORIO JURIC AVERBACH</t>
  </si>
  <si>
    <t>FANNY SIQUEIRA ABREU</t>
  </si>
  <si>
    <t>RENDIMENTOS MÊS 01/2016</t>
  </si>
  <si>
    <t>CLAUDIA ANDREA DE CARLALTONIO DUTRA QUEIROZ</t>
  </si>
  <si>
    <t>NF-33255481</t>
  </si>
  <si>
    <t>COMERCIAL CIRURGICA RIOCLARENSE LTDA</t>
  </si>
  <si>
    <t>DP CX AQUI - DEV JUROS</t>
  </si>
  <si>
    <t>DP DINH AG</t>
  </si>
  <si>
    <t>EDNALVA FRANCISCA PEREIRA</t>
  </si>
  <si>
    <t>NF-23</t>
  </si>
  <si>
    <t>NF-64352</t>
  </si>
  <si>
    <t>NF-64426</t>
  </si>
  <si>
    <t>NF-33215</t>
  </si>
  <si>
    <t>OI FIXO FAT JAN/2016</t>
  </si>
  <si>
    <t>NF-73</t>
  </si>
  <si>
    <t>NF-193315</t>
  </si>
  <si>
    <t>NF-191420</t>
  </si>
  <si>
    <t>NF-936</t>
  </si>
  <si>
    <t>SOBRE RESCISÃO - FANNY SIQUEIRA JAIME</t>
  </si>
  <si>
    <t>NF-267968</t>
  </si>
  <si>
    <t>NF-263560</t>
  </si>
  <si>
    <t>NF-266120</t>
  </si>
  <si>
    <t>NF-263462</t>
  </si>
  <si>
    <t>NF-34</t>
  </si>
  <si>
    <t>NF-29567</t>
  </si>
  <si>
    <t>CIENTIFICA MEDICA HOSPITALAR LTDA</t>
  </si>
  <si>
    <t>NF-45916</t>
  </si>
  <si>
    <t>NF-46868</t>
  </si>
  <si>
    <t>NF-1508</t>
  </si>
  <si>
    <t>NF-12213</t>
  </si>
  <si>
    <t>MAXLAB PRODUTOS P D P LTDA</t>
  </si>
  <si>
    <t>NF-72464</t>
  </si>
  <si>
    <t>NF-70852</t>
  </si>
  <si>
    <t>NF-268138</t>
  </si>
  <si>
    <t>NF-585</t>
  </si>
  <si>
    <t xml:space="preserve">A&amp;C LABOR ASSISTENCIA TECNICA HOSPITALAR </t>
  </si>
  <si>
    <t>NF-539</t>
  </si>
  <si>
    <t xml:space="preserve">DUELAV LAVANDERIAS </t>
  </si>
  <si>
    <t>NF-540</t>
  </si>
  <si>
    <t>SOMNIA MARLENE CADOGAN PIRAGGINI</t>
  </si>
  <si>
    <t>NF-91810</t>
  </si>
  <si>
    <t>NF-91900</t>
  </si>
  <si>
    <t>ANNA PAULA SILVA GOMES FERREIRA</t>
  </si>
  <si>
    <t>ARQUIVO - DIVERSOS</t>
  </si>
  <si>
    <t>NF-10907</t>
  </si>
  <si>
    <t>DIAGGOIAS DIAGNOSTICOS CIENTIFICOS LTDA</t>
  </si>
  <si>
    <t>NF-10802</t>
  </si>
  <si>
    <t>DIAGGOIAS DIAGNOSTICOS CIENTIFICOS LTDA(PROTESTO-FERNANDO POMPEU DE PINA)</t>
  </si>
  <si>
    <t>MAYARA CAROLINA DO NASCIMENTO</t>
  </si>
  <si>
    <t>NF-271585</t>
  </si>
  <si>
    <t>NF-92127</t>
  </si>
  <si>
    <t>RAFAELA MESQUITA PEREIRA</t>
  </si>
  <si>
    <t>NF-191553</t>
  </si>
  <si>
    <t>ROSANA APARECIDA GONCALVES FARIA</t>
  </si>
  <si>
    <t>NF-146</t>
  </si>
  <si>
    <t>NF-195199</t>
  </si>
  <si>
    <t>CILENE EDUVIRGES CAMPOS DE OLIVEIRA</t>
  </si>
  <si>
    <t>JOAO PAULO RESENDE</t>
  </si>
  <si>
    <t>NF-165432</t>
  </si>
  <si>
    <t>MEDCOMERCE  COML MED P HOSP LTDA</t>
  </si>
  <si>
    <t>RUDSON TEODORO DA SILVA</t>
  </si>
  <si>
    <t>WARLA RIBEIRO DOS SANTOS</t>
  </si>
  <si>
    <t>CIENTIFICA MEDICA HOSPITALAR LTDA (Protesto-Fernando Pompeu de Pina)</t>
  </si>
  <si>
    <t>CIENTIIFICA MEDICA HOSPITALAR LTDA</t>
  </si>
  <si>
    <t>DAYANA CHRISTINA AZEVEDO</t>
  </si>
  <si>
    <t>JAQUELINE DE JESUS BARBOSA</t>
  </si>
  <si>
    <t>JOSILENE COELHO DE SOUZA</t>
  </si>
  <si>
    <t>KATIA REGINA GONCALVES DA S E CA</t>
  </si>
  <si>
    <t>MARCELO CABRERA DA SILVA</t>
  </si>
  <si>
    <t>PEDRO PAULO SOUSA FORTUNA</t>
  </si>
  <si>
    <t>THIAGO JABER RIOS</t>
  </si>
  <si>
    <t>VANIA MARIA BARBOSA DA SILVA</t>
  </si>
  <si>
    <t>ANDRE LUIZ BRAGA DAS DORES</t>
  </si>
  <si>
    <t>NF-44187</t>
  </si>
  <si>
    <t>DEBORA DE OLIVEIRA CANEDO</t>
  </si>
  <si>
    <t>KLEBER VIRGILIO DE OLIVEIRA</t>
  </si>
  <si>
    <t>LUCIANO DE SOUSA CANSADO</t>
  </si>
  <si>
    <t>LUIZ FERNANDO CINTRA CAMPOS FILHO</t>
  </si>
  <si>
    <t>RAPHAEL DE TOLEDO REMIGGI</t>
  </si>
  <si>
    <t>NF-195855</t>
  </si>
  <si>
    <t>NF-195854</t>
  </si>
  <si>
    <t>NF-09</t>
  </si>
  <si>
    <t>STEFANE PEREIRA DAHMER</t>
  </si>
  <si>
    <t>TED-DEVOLVIDA-PEDRO PAULO SOUSA FORTUNA</t>
  </si>
  <si>
    <t>VANESSA BARROS GOMES</t>
  </si>
  <si>
    <t>WALLISSON PEREIRA DOS SANTOS</t>
  </si>
  <si>
    <t>NF-52</t>
  </si>
  <si>
    <t>ACTION CONSULTORIA E PARTICIPACOES LTDA</t>
  </si>
  <si>
    <t>NF-3532</t>
  </si>
  <si>
    <t>NF-3545</t>
  </si>
  <si>
    <t>NF-236172</t>
  </si>
  <si>
    <t>BIOMEDICAL PROD CIENT MED HOSPITALAR LTDA</t>
  </si>
  <si>
    <t>NF-592</t>
  </si>
  <si>
    <t>NF-325504</t>
  </si>
  <si>
    <t>TED/DEVOL</t>
  </si>
  <si>
    <t>DEVOL TED - MARMORARIA</t>
  </si>
  <si>
    <t>DEV-TED-VANESSA BARROS GOMES</t>
  </si>
  <si>
    <t>NF-2332</t>
  </si>
  <si>
    <t>NF-48482</t>
  </si>
  <si>
    <t>NF-225</t>
  </si>
  <si>
    <t>DSL DISTRIBUIDORA DE VIDROS LTDA</t>
  </si>
  <si>
    <t>NF-19</t>
  </si>
  <si>
    <t>NF-131</t>
  </si>
  <si>
    <t>ALUGUEL</t>
  </si>
  <si>
    <t>EUSTAK FIGUEIREDO</t>
  </si>
  <si>
    <t>Aluguel e Condominio</t>
  </si>
  <si>
    <t>NF-795</t>
  </si>
  <si>
    <t>NF-8055</t>
  </si>
  <si>
    <t>EXTINTORES BANDEIRANTE PROJ E SIST COMB INCENDIO</t>
  </si>
  <si>
    <t>NF-14</t>
  </si>
  <si>
    <t>NF-008</t>
  </si>
  <si>
    <t>JOSE CARLOS P DA COSTA</t>
  </si>
  <si>
    <t>NF-683</t>
  </si>
  <si>
    <t>NF-17</t>
  </si>
  <si>
    <t>NF-03</t>
  </si>
  <si>
    <t>MARMORARIA ALIANCA LTDA</t>
  </si>
  <si>
    <t>NF-56</t>
  </si>
  <si>
    <t>NF-173570</t>
  </si>
  <si>
    <t>REDMED COM DE MAT HOSPITALAR EIRELI</t>
  </si>
  <si>
    <t>NF-173569</t>
  </si>
  <si>
    <t>NF-7313</t>
  </si>
  <si>
    <t>REULY EQUIPAMENTOS DE SEGURANCA LTDA</t>
  </si>
  <si>
    <t>NF-195012</t>
  </si>
  <si>
    <t>NF-6805</t>
  </si>
  <si>
    <t>NF-267988</t>
  </si>
  <si>
    <t>NF-267987</t>
  </si>
  <si>
    <t>NF-268176</t>
  </si>
  <si>
    <t>NF-37</t>
  </si>
  <si>
    <t>NF-3583</t>
  </si>
  <si>
    <t>CELG CENT ELET GOIAS</t>
  </si>
  <si>
    <t>NF-1313</t>
  </si>
  <si>
    <t>NF-1319</t>
  </si>
  <si>
    <t>NF-25</t>
  </si>
  <si>
    <t>NF-221</t>
  </si>
  <si>
    <t>NF-659</t>
  </si>
  <si>
    <t>NF-02</t>
  </si>
  <si>
    <t>NF-12406</t>
  </si>
  <si>
    <t>NF-1073</t>
  </si>
  <si>
    <t>NF-60</t>
  </si>
  <si>
    <t>NF-61</t>
  </si>
  <si>
    <t>NF-144</t>
  </si>
  <si>
    <t>NF-1003</t>
  </si>
  <si>
    <t>NF-2760</t>
  </si>
  <si>
    <t>NF-2759</t>
  </si>
  <si>
    <t>NF-3653</t>
  </si>
  <si>
    <t>NF-3621</t>
  </si>
  <si>
    <t>NF-3652</t>
  </si>
  <si>
    <t>NF-236</t>
  </si>
  <si>
    <t>BICUDOS PRESTADORA DE SERVICOS LTDA</t>
  </si>
  <si>
    <t>NF-22</t>
  </si>
  <si>
    <t>GPS FIEL ADM NF 1358</t>
  </si>
  <si>
    <t>GPS MW DISTRIBUIDORA NF 14</t>
  </si>
  <si>
    <t>GPS SETMAIER ENGENHARIA NF 38</t>
  </si>
  <si>
    <t>GPS TOTAL VIGILANCIA NF 2842</t>
  </si>
  <si>
    <t>IR NF 38 SETMAIER ENGENHARIA LTDA</t>
  </si>
  <si>
    <t>IR NF 39 SETMAIER ENGENHARIA LTDA</t>
  </si>
  <si>
    <t>IR NF 51 - WORK7</t>
  </si>
  <si>
    <t xml:space="preserve">IR NF 54 - ACTION CONSULTORIA </t>
  </si>
  <si>
    <t>IRRF NF 1358 - FIEL ADM</t>
  </si>
  <si>
    <t xml:space="preserve">IRRF NF 2841 - TOTAL VIGILANCIA </t>
  </si>
  <si>
    <t>IRRF NF 2842 - TOTAL VIGILANCIA</t>
  </si>
  <si>
    <t>IRRF NF 64352 - INDCOM</t>
  </si>
  <si>
    <t>IRRF NF 64426 - INDCOM</t>
  </si>
  <si>
    <t>NF-12955</t>
  </si>
  <si>
    <t>PCC NF 267048 - PNCQ</t>
  </si>
  <si>
    <t>PCC NF 98 - INDCOM  AMBIENTAL LTDA</t>
  </si>
  <si>
    <t>NF-773</t>
  </si>
  <si>
    <t>NF-1005</t>
  </si>
  <si>
    <t>NF-961</t>
  </si>
  <si>
    <t>NF 167</t>
  </si>
  <si>
    <t>NF-269778</t>
  </si>
  <si>
    <t>NF-269804</t>
  </si>
  <si>
    <t>NF-269308</t>
  </si>
  <si>
    <t>NF-269737</t>
  </si>
  <si>
    <t>NF-269240</t>
  </si>
  <si>
    <t>NF-269735</t>
  </si>
  <si>
    <t>NF-268410</t>
  </si>
  <si>
    <t>NF-14414</t>
  </si>
  <si>
    <t>NF-138</t>
  </si>
  <si>
    <t>NF-20476</t>
  </si>
  <si>
    <t>MS HOSPITALAR LTDA</t>
  </si>
  <si>
    <t>FAT-475046</t>
  </si>
  <si>
    <t>OI FIXO</t>
  </si>
  <si>
    <t>FAT-475034</t>
  </si>
  <si>
    <t>NF-69</t>
  </si>
  <si>
    <t>NF-196313</t>
  </si>
  <si>
    <t>NF-196382</t>
  </si>
  <si>
    <t>NF-4547</t>
  </si>
  <si>
    <t>NF-598</t>
  </si>
  <si>
    <t>NF-597</t>
  </si>
  <si>
    <t>ADRIANO GOMES DE FREITAS</t>
  </si>
  <si>
    <t>CASTRO E ALARCAO ADVOGADOS ASSOCIADOS</t>
  </si>
  <si>
    <t>Assessoria Juridica</t>
  </si>
  <si>
    <t>NF-30150</t>
  </si>
  <si>
    <t xml:space="preserve">CIENTIFICA MEDICA HOSPITALAR LTDA </t>
  </si>
  <si>
    <t>NF-24</t>
  </si>
  <si>
    <t>NF-817</t>
  </si>
  <si>
    <t>NF-18</t>
  </si>
  <si>
    <t>NF-507</t>
  </si>
  <si>
    <t>GONCALVES E MOTA LTDA</t>
  </si>
  <si>
    <t>MARIA CRISTINA DE OLIVEIRA</t>
  </si>
  <si>
    <t>NF-108</t>
  </si>
  <si>
    <t>NF-76</t>
  </si>
  <si>
    <t>NF-2897</t>
  </si>
  <si>
    <t>TAXA</t>
  </si>
  <si>
    <t>BAIXA CAD ACORDO</t>
  </si>
  <si>
    <t>Taxas Custas e Certificações</t>
  </si>
  <si>
    <t>LINCENCA DE FUNCIONAMENTO</t>
  </si>
  <si>
    <t>ANTONIO FREDERICO NETO</t>
  </si>
  <si>
    <t>NF-32787</t>
  </si>
  <si>
    <t>GOIANIA MEDICA PROD HOSP LTDA</t>
  </si>
  <si>
    <t>HILDA FLEURY DE PINA</t>
  </si>
  <si>
    <t>NF-21</t>
  </si>
  <si>
    <t>NATIVA TRANSPORTE E TURISMO LTDA</t>
  </si>
  <si>
    <t>NF-12943</t>
  </si>
  <si>
    <t>ANA BEATRIZ DUARTE BELEM</t>
  </si>
  <si>
    <t>FRANCISCO LUCIANO SILVA DE ARAUJO</t>
  </si>
  <si>
    <t>GLAUCO ARAUJO RODRIGUES</t>
  </si>
  <si>
    <t>MICHELE CRISTIINA JAYME</t>
  </si>
  <si>
    <t>TAMIRES FIGUEIREDO DE MORAIS</t>
  </si>
  <si>
    <t>VITOR HUGO RODRIGUES BORGES</t>
  </si>
  <si>
    <t>RENDIMENTOS MÊS 02/2016</t>
  </si>
  <si>
    <t>NF-2712</t>
  </si>
  <si>
    <t>FAT-FEV2016</t>
  </si>
  <si>
    <t>NF-529/1081</t>
  </si>
  <si>
    <t>DEV/JUROS</t>
  </si>
  <si>
    <t>DIF IR SOBRE FÉRIAS</t>
  </si>
  <si>
    <t>Juros e Multa</t>
  </si>
  <si>
    <t>NF-20638</t>
  </si>
  <si>
    <t xml:space="preserve">APORTE </t>
  </si>
  <si>
    <t>NF-2409</t>
  </si>
  <si>
    <t>NF-65491</t>
  </si>
  <si>
    <t>JULIANA DAS DORES ARAUJO GODINHO</t>
  </si>
  <si>
    <t>NF-870</t>
  </si>
  <si>
    <t>NF-20</t>
  </si>
  <si>
    <t>MENDES LOBO CONSTRUCAO LTDA</t>
  </si>
  <si>
    <t>TAR CH INF</t>
  </si>
  <si>
    <t>NF-14215</t>
  </si>
  <si>
    <t>NF-38</t>
  </si>
  <si>
    <t>CAN CR ACC</t>
  </si>
  <si>
    <t>NF-569</t>
  </si>
  <si>
    <t>MF-568</t>
  </si>
  <si>
    <t>LAZARA DE MORAIS BARBOSA</t>
  </si>
  <si>
    <t>MARIA APARECIDA RODRIGUES</t>
  </si>
  <si>
    <t>NF-20680</t>
  </si>
  <si>
    <t>NF-20715</t>
  </si>
  <si>
    <t>NF-73838</t>
  </si>
  <si>
    <t>NF-73839</t>
  </si>
  <si>
    <t>NF-276065</t>
  </si>
  <si>
    <t>NF-93282</t>
  </si>
  <si>
    <t>TAF</t>
  </si>
  <si>
    <t>DEB P FGTS - SAMEA</t>
  </si>
  <si>
    <t>DIF. SAMEA KELLEN DE OLIVEIRA</t>
  </si>
  <si>
    <t>NF-17840</t>
  </si>
  <si>
    <t>ESCOLA E BANDA DE MUSICA PHENIX</t>
  </si>
  <si>
    <t>NF-28857</t>
  </si>
  <si>
    <t>FERNANDO POMPEU DE PINA - CIENTIFICA (PROTESTO)</t>
  </si>
  <si>
    <t>NF-3707</t>
  </si>
  <si>
    <t>NF-3683</t>
  </si>
  <si>
    <t>DP DIN LOT - DIAGGOIAS DIAGNOSTICOS CIENTIFICOS LTDA(PROTESTO</t>
  </si>
  <si>
    <t>NF 171</t>
  </si>
  <si>
    <t>NF 175</t>
  </si>
  <si>
    <t>NF-14643</t>
  </si>
  <si>
    <t>DOC ELET - TARIFAS</t>
  </si>
  <si>
    <t>nf-174823</t>
  </si>
  <si>
    <t>RECMED  COM DE MAT HOSP EIRELI</t>
  </si>
  <si>
    <t>NF-4675</t>
  </si>
  <si>
    <t>COMPAK REFRIGERACAO E MAQUINAS</t>
  </si>
  <si>
    <t>NF-31781</t>
  </si>
  <si>
    <t>ECOSAFE COMERCIO ATAC EPI LTDA</t>
  </si>
  <si>
    <t>NF-224</t>
  </si>
  <si>
    <t>APLICACAO</t>
  </si>
  <si>
    <t>NF-629</t>
  </si>
  <si>
    <t>NF-44996</t>
  </si>
  <si>
    <t>NF-74</t>
  </si>
  <si>
    <t>NF-32984</t>
  </si>
  <si>
    <t>NF-13</t>
  </si>
  <si>
    <t>NF-1092</t>
  </si>
  <si>
    <t>NF-775</t>
  </si>
  <si>
    <t>NF-10168</t>
  </si>
  <si>
    <t>Locação de Informatica</t>
  </si>
  <si>
    <t>NF-29</t>
  </si>
  <si>
    <t>NF-148</t>
  </si>
  <si>
    <t>NF-843</t>
  </si>
  <si>
    <t>INSS S NF 1380 - FIEL ADMINISTRACAO E SERVICOS LTDA</t>
  </si>
  <si>
    <t>INSS S NF 15 - MW DISTRIBUIDORA DE MEDICAMENTOS</t>
  </si>
  <si>
    <t>INSS S NF 2897 - TOTAL VIGILANCIA E SEGURANCA LTDA</t>
  </si>
  <si>
    <t>INSS SOBRE FOLHA</t>
  </si>
  <si>
    <t>IR S FOLHA</t>
  </si>
  <si>
    <t>IR S NF 12943 - PLANISA PLANEJAMENTO E ORG INST DE SAUDE LTDA</t>
  </si>
  <si>
    <t xml:space="preserve">IR S PIS </t>
  </si>
  <si>
    <t>IR S RPA</t>
  </si>
  <si>
    <t>IRRF S NF 1380 - FIEL ADMINISTRACAO E SERVICOS LTDA</t>
  </si>
  <si>
    <t>IRRF S NF 20 - FGA SERVICOS MEDICOS LTDA</t>
  </si>
  <si>
    <t>IRRF S NF 2897 - TOTAL VIGILANCIA E SEGURANCA LTDA</t>
  </si>
  <si>
    <t>IRRF S NF 2898 - TOTAL VIGILANCIA E SEGURANCA LTDA</t>
  </si>
  <si>
    <t>ISS S NF 1380  - FIEL ADMINISTRACAO E SERVICOS LTDA</t>
  </si>
  <si>
    <t>ISS S NF 2897 - TOTAL VIGILANCIA E SEGURANCA LTDA</t>
  </si>
  <si>
    <t>ISS S NF 2898 - TOTAL VIGILANCIA E SEGURANCA LTDA</t>
  </si>
  <si>
    <t>NF-894</t>
  </si>
  <si>
    <t>PCC S NF 12388 - PLANISA PLANEJAMENTO E ORG INST DE SAUDE LTDA</t>
  </si>
  <si>
    <t>PCC S NF 1313 - FIEL ADMINISTRACAO E SERVICOS LTDA</t>
  </si>
  <si>
    <t>PCC S NF 1319 - FIEL ADMINISTRACAO E SERVICOS LTDA</t>
  </si>
  <si>
    <t>PCC S NF 16 - FGA SERVICOS MEDICOS LTDA</t>
  </si>
  <si>
    <t>PCC S NF 267048 - PNCQ</t>
  </si>
  <si>
    <t>PCC S NF 271585 - PNCQ</t>
  </si>
  <si>
    <t>PCC S NF 2759 - TOTAL VIGILANCIA E SEGURANCA LTDA</t>
  </si>
  <si>
    <t>PCC S NF 2760 - TOTAL VIGILANCIA E SEGURANCA LTDA</t>
  </si>
  <si>
    <t>PCC S NF 37 - WORK7 AUDITORES INDEPENDENTES</t>
  </si>
  <si>
    <t>PCC S NF 52 - ACTION CONSULTORIA E PARTIC LTDA</t>
  </si>
  <si>
    <t>PCC S NF 64352 - INDCOM AMBIENTAL LTDA</t>
  </si>
  <si>
    <t>PCC S NF 64426 - INDCOM AMBIENTAL LTDA</t>
  </si>
  <si>
    <t>NF-2906</t>
  </si>
  <si>
    <t>NF-79</t>
  </si>
  <si>
    <t>NF-68</t>
  </si>
  <si>
    <t>NF-175369</t>
  </si>
  <si>
    <t>NF-1036</t>
  </si>
  <si>
    <t>NF-1037</t>
  </si>
  <si>
    <t>NF-1031</t>
  </si>
  <si>
    <t>NF-2841</t>
  </si>
  <si>
    <t>NF-2842</t>
  </si>
  <si>
    <t>NF-11115</t>
  </si>
  <si>
    <t>NF-49315</t>
  </si>
  <si>
    <t>NF-48709</t>
  </si>
  <si>
    <t>NF-197750</t>
  </si>
  <si>
    <t>NF-49330</t>
  </si>
  <si>
    <t>NF-49182</t>
  </si>
  <si>
    <t>NF-49183</t>
  </si>
  <si>
    <t>NF-48708</t>
  </si>
  <si>
    <t>NF-49070</t>
  </si>
  <si>
    <t>DOC TEDINTERNET</t>
  </si>
  <si>
    <t>NF-4553</t>
  </si>
  <si>
    <t>EPA INDUSTRIA E COMERCIO DE ETIQUETAS</t>
  </si>
  <si>
    <t>MANUT CAD</t>
  </si>
  <si>
    <t>NF-8326</t>
  </si>
  <si>
    <t>NF-4584</t>
  </si>
  <si>
    <t>NF-5</t>
  </si>
  <si>
    <t>NF-6890</t>
  </si>
  <si>
    <t>NF-6889</t>
  </si>
  <si>
    <t>NF-271510</t>
  </si>
  <si>
    <t>NF-271269</t>
  </si>
  <si>
    <t>NF-271599</t>
  </si>
  <si>
    <t>NF-3416</t>
  </si>
  <si>
    <t>NF-3417</t>
  </si>
  <si>
    <t>NF-12015</t>
  </si>
  <si>
    <t>WN NUTRICAO ESPECIALIZADA LTDA</t>
  </si>
  <si>
    <t>ALVES E ALENCAR SOCIEDADE DE ADVOGADOS</t>
  </si>
  <si>
    <t>PCC S NF 12762 - PLANISA PLANEJAMENTO E ORG INST DE SAUDE LTDA</t>
  </si>
  <si>
    <t>BEMIVAL DA COSTA - JOELMA</t>
  </si>
  <si>
    <t>ELIZANGELA TAVARES DE SOUZA</t>
  </si>
  <si>
    <t>GIZELLE LIMA ANDRADE</t>
  </si>
  <si>
    <t>ANA CLAUDIA LIMA RIBEIRO NASCIMENTO</t>
  </si>
  <si>
    <t>DRIELY FERNANDES DA SILVA</t>
  </si>
  <si>
    <t>KARLA DAIANE DA SILVA</t>
  </si>
  <si>
    <t>MARIA APARECIDA DE MELO</t>
  </si>
  <si>
    <t>REDE DISTRIBUIDORA LTDA</t>
  </si>
  <si>
    <t>ROGERIO ASSUNÇÃO BORBA</t>
  </si>
  <si>
    <t>ELLEN CRISTINA G DA SILVA</t>
  </si>
  <si>
    <t>LILIAN GOMES DE OLIVEIRA</t>
  </si>
  <si>
    <t>MARIA RONIZETH FIGUEIREDO MELO</t>
  </si>
  <si>
    <t>PAULO BOETTCHER JUNIOR</t>
  </si>
  <si>
    <t>SIMONE ALEIXO BERNARDO</t>
  </si>
  <si>
    <t>RENDIMENTOS MÊS 03/2016</t>
  </si>
  <si>
    <t>AROLDO COSTA</t>
  </si>
  <si>
    <t>FGTS - RESCISAO AROLDO DA COSTA</t>
  </si>
  <si>
    <t>FGTS - RESCISAO LUCILENE AFONSO</t>
  </si>
  <si>
    <t>LUCILENE AFONSO</t>
  </si>
  <si>
    <t>OI FIXO - MARÇO 2016</t>
  </si>
  <si>
    <t>PAPELARIA DINAMICA LTDA</t>
  </si>
  <si>
    <t>NF 26366</t>
  </si>
  <si>
    <t>DEVOLUÇAO - ANA BEATRIZ DUARTE</t>
  </si>
  <si>
    <t>ACERTO FUNDO CAIXA</t>
  </si>
  <si>
    <t>DEVOLUÇAO - ANA ILZA DE AS</t>
  </si>
  <si>
    <t>DEVOLUÇAO - ANDRE LUIZ BRAGA DAS DORES</t>
  </si>
  <si>
    <t>DEVOLUÇAO - ANNA PAULA SILVA GOMES FERREIRA</t>
  </si>
  <si>
    <t>DEVOLUÇAO - CIBELE RODRIGUES DE PINA CARDOSO</t>
  </si>
  <si>
    <t>DEVOLUÇAO - DIEGO BATISTA DA SILVA E SOUZA</t>
  </si>
  <si>
    <t>DEVOLUÇAO - MARCELO CARVALHO DE SOUSA</t>
  </si>
  <si>
    <t>DEVOLUÇAO - MAURA LUIZA DOS SANTOS PEIXOTO</t>
  </si>
  <si>
    <t xml:space="preserve">DEVOLUÇAO </t>
  </si>
  <si>
    <t>DEVOLUÇAO - CILENE EDUVIRGES CAMPOS DE OLIVEIRA</t>
  </si>
  <si>
    <t>DEVOLUÇAO - DIVINA LAUDELINO DA COSTA</t>
  </si>
  <si>
    <t>DEVOLUÇAO - LUIZ FERNANDO CINTRA CAMPOS FILHO</t>
  </si>
  <si>
    <t>DEVOLUÇAO - MARCELO CABRERA DA SILVA</t>
  </si>
  <si>
    <t>DEVOLUÇAO - MARCOS VINICIUS CHAVES DO NASCIMENTO</t>
  </si>
  <si>
    <t>DEVOLUÇAO - RUDSON TEODORO DA SILVA</t>
  </si>
  <si>
    <t>DEVOLUÇAO - WARLA RIBEIRO DOS SANTOS</t>
  </si>
  <si>
    <t>DIFERENÇA FOLHA - GLEIDYS MORGANA</t>
  </si>
  <si>
    <t>DIFERENÇA FOLHA - HOSANI ALEIXO</t>
  </si>
  <si>
    <t xml:space="preserve">FGTS SOBRA FOLHA </t>
  </si>
  <si>
    <t>DANILO EDUARDO QUEIROZ</t>
  </si>
  <si>
    <t>DEVOLUÇAO - CARLA TATIANE GOMES DA SILVA</t>
  </si>
  <si>
    <t>DIFERENÇA FOLHA - ADRIANE DA ROCHA</t>
  </si>
  <si>
    <t>DIFERENÇA FOLHA - ALESSANDRA SAMPAIO</t>
  </si>
  <si>
    <t>DIFERENÇA FOLHA - ALYNE BORGES AMORIM</t>
  </si>
  <si>
    <t>DIFERENÇA FOLHA - ALZIRA ALVES</t>
  </si>
  <si>
    <t>DIFERENÇA FOLHA - AMANDA C PEIXOTO</t>
  </si>
  <si>
    <t>DIFERENÇA FOLHA - AMANDA INACIA</t>
  </si>
  <si>
    <t>DIFERENÇA FOLHA - ANA MARIA DE S.A</t>
  </si>
  <si>
    <t>DIFERENÇA FOLHA - ANDRE LUIZ FERREIRA</t>
  </si>
  <si>
    <t>DIFERENÇA FOLHA - BERENICE DA SILVA</t>
  </si>
  <si>
    <t>DIFERENÇA FOLHA - CAMILA</t>
  </si>
  <si>
    <t>DIFERENÇA FOLHA - CONCEIÇAO APARECIDA</t>
  </si>
  <si>
    <t>DIFERENÇA FOLHA - CYNTHIA MESQUITA</t>
  </si>
  <si>
    <t>DIFERENÇA FOLHA - DAVID PEREIRA</t>
  </si>
  <si>
    <t>DIFERENÇA FOLHA - DAYSE ROSE</t>
  </si>
  <si>
    <t>DIFERENÇA FOLHA - EDENEI AFONSO</t>
  </si>
  <si>
    <t>DIFERENÇA FOLHA - EDNALVA FRANCISCA</t>
  </si>
  <si>
    <t>DIFERENÇA FOLHA - ELSON GOMES</t>
  </si>
  <si>
    <t>DIFERENÇA FOLHA - GILBERTO SILVA</t>
  </si>
  <si>
    <t>DIFERENÇA FOLHA - JACILDA DE OLIVEIRA</t>
  </si>
  <si>
    <t>DIFERENÇA FOLHA - KEILA SUZANA</t>
  </si>
  <si>
    <t>DIFERENÇA FOLHA - LOANA</t>
  </si>
  <si>
    <t>DIFERENÇA FOLHA - MARGRAY LEITE</t>
  </si>
  <si>
    <t>DIFERENÇA FOLHA - MARIA LUCIA</t>
  </si>
  <si>
    <t>DIFERENÇA FOLHA - MAURO</t>
  </si>
  <si>
    <t>DIFERENÇA FOLHA - MAYARA CAROLINA</t>
  </si>
  <si>
    <t>DIFERENÇA FOLHA - MAYRA GOMES</t>
  </si>
  <si>
    <t>DIFERENÇA FOLHA - MICHELLE CRISTINA</t>
  </si>
  <si>
    <t>DIFERENÇA FOLHA - MICHELLY ANTONELA</t>
  </si>
  <si>
    <t>DIFERENÇA FOLHA - MIRIAM ALEIXO</t>
  </si>
  <si>
    <t>DIFERENÇA FOLHA - NILVA AMORIM</t>
  </si>
  <si>
    <t>DIFERENÇA FOLHA - PAULO BOETTHER</t>
  </si>
  <si>
    <t>DIFERENÇA FOLHA - RAFAELA MESQUITA</t>
  </si>
  <si>
    <t>DIFERENÇA FOLHA - ROSANA APARECIDA</t>
  </si>
  <si>
    <t>DIFERENÇA FOLHA - SARA MORAIS</t>
  </si>
  <si>
    <t>DIFERENÇA FOLHA - TALITA M CARRIJO</t>
  </si>
  <si>
    <t>DIFERENÇA FOLHA - TALYTA CIFIA</t>
  </si>
  <si>
    <t>DIFERENÇA FOLHA - VANDIRA ABRENHOSA</t>
  </si>
  <si>
    <t>DIFERENÇA FOLHA - VICENTINA GEISA</t>
  </si>
  <si>
    <t>DIFERENÇA FOLHA - WALDIVINO DE SOUZA</t>
  </si>
  <si>
    <t>DIFERENÇA FOLHA - WYARA TALITA</t>
  </si>
  <si>
    <t>FGTS - RESCISAO LAZARA SIMOA</t>
  </si>
  <si>
    <t>WILLIAN RODRIGUES DE SOUSA</t>
  </si>
  <si>
    <t xml:space="preserve">ANA ILZA </t>
  </si>
  <si>
    <t>DEVOLUÇAO - CIRO JOSE NAVES OLIVEIRA</t>
  </si>
  <si>
    <t>DEVOLUÇAO - JULIANA VIEIRA DE MELO</t>
  </si>
  <si>
    <t>DEVOLUÇAO - RAPHAEL DE TOLEDO REMIGGI</t>
  </si>
  <si>
    <t>DEVOLUÇAO - VITOR HUGO RODRIGUES BORGES</t>
  </si>
  <si>
    <t>HONDINELY SANTANA</t>
  </si>
  <si>
    <t>KLEBER VIRGILIO</t>
  </si>
  <si>
    <t xml:space="preserve">NF 26366 </t>
  </si>
  <si>
    <t>DEVOLUÇAO - ANA CLAUDIA LIMA RIBEIRO NASCIMENTO</t>
  </si>
  <si>
    <t>DEVOLUÇAO - ANTONIO FREDERICO NETO</t>
  </si>
  <si>
    <t>DEVOLUÇAO - JOAO PAULO RESENDE</t>
  </si>
  <si>
    <t>DEVOLUÇAO - GILMAR PIRES DE MORAIS</t>
  </si>
  <si>
    <t>DEVOLUÇAO - MARIA JOSE CARDOSO CORREIA</t>
  </si>
  <si>
    <t>DEVOLUÇAO - ROBERTA DA SILVA FLORENTINO FERREIRA</t>
  </si>
  <si>
    <t xml:space="preserve">DEVOLUÇAO ISS RPA - DEBORA </t>
  </si>
  <si>
    <t>DIFERENÇA FOLHA - AMANDA KAROLINA</t>
  </si>
  <si>
    <t>DIFERENÇA FOLHA - LIVIA MARIA</t>
  </si>
  <si>
    <t>DIFERENÇA FOLHA - MARIA APARECIDA</t>
  </si>
  <si>
    <t>DIFERENÇA FOLHA - REGINA RODRIGUES</t>
  </si>
  <si>
    <t>DEVOLUÇAO - ANDRE LUIZ SARAIVA DE MENESES GOMES</t>
  </si>
  <si>
    <t>DEVOLUÇAO - TAMIRES FIGUEIREDO DE MORAIS</t>
  </si>
  <si>
    <t>DEVOLUÇAO - VALQUIRIA ELEUTERIO PINHEIRO LIMA</t>
  </si>
  <si>
    <t>EST CREDIT - ANTONIO FREDERICO NETO</t>
  </si>
  <si>
    <t>CRED TEV</t>
  </si>
  <si>
    <t>DEVOLUÇAO - ANTONIO LEONARDO GONCALVES LEITE</t>
  </si>
  <si>
    <t>ISS - DANILO EDUARDO</t>
  </si>
  <si>
    <t>ISS - DEBORA DE OLIVEIRA</t>
  </si>
  <si>
    <t xml:space="preserve">ISS - WILLIAN RODRIGUES </t>
  </si>
  <si>
    <t>ISS NF 40 - SETMAIER ENGENHARIA</t>
  </si>
  <si>
    <t>ISS S NF 1399  - FIEL ADMINISTRACAO E SERVICOS LTDA</t>
  </si>
  <si>
    <t>ISS S NF 2952 - TOTAL VIGILANCIA E SEGURANÇA LTDA</t>
  </si>
  <si>
    <t>ISS S NF 2953 - TOTAL VIGILANCIA E SEGURANÇA LTDA</t>
  </si>
  <si>
    <t>LOCADORA GOVESA</t>
  </si>
  <si>
    <t>DP DIN LOT</t>
  </si>
  <si>
    <t>GPS FIEL ADMINISTRAÇAO E SERVIÇOS</t>
  </si>
  <si>
    <t xml:space="preserve">GPS SETMAIER ENGENHARIA </t>
  </si>
  <si>
    <t>GPS TOTAL VIGILANCIA</t>
  </si>
  <si>
    <t>IRRF NF 13182 - PLANISA</t>
  </si>
  <si>
    <t>IRRF NF 1399 - FIEL ADMINISTRAÇAO</t>
  </si>
  <si>
    <t>IRRF NF 22 - F.G.A SERVIÇOS MEDICOS</t>
  </si>
  <si>
    <t>IRRF NF 2952 - TOTAL VIGILANCIA</t>
  </si>
  <si>
    <t>IRRF NF 2953 - TOTAL VIGILANCIA</t>
  </si>
  <si>
    <t>IRRF NF 40 - SETMAIER</t>
  </si>
  <si>
    <t>IRRF NF 43 - SETMAIER</t>
  </si>
  <si>
    <t>IRRF NF 66695 - INDCOM</t>
  </si>
  <si>
    <t>IRRF NF 71 - WORK7</t>
  </si>
  <si>
    <t>MARIA JOSE GODINHO</t>
  </si>
  <si>
    <t>OI FIXO - ABRIL 2016</t>
  </si>
  <si>
    <t>PCC NF 13 - MW OPERAÇOES</t>
  </si>
  <si>
    <t>PCC NF 20 - F.G.A SERVIÇOS MEDICOS</t>
  </si>
  <si>
    <t>PCC NF 2482 - TOTAL VIGILANCIA</t>
  </si>
  <si>
    <t>PCC NF 2760 - PNCQ</t>
  </si>
  <si>
    <t>PCC NF 2841 - TOTAL VIGILANCIA</t>
  </si>
  <si>
    <t>PCC NF 38 - SETMAIER</t>
  </si>
  <si>
    <t>PCC NF 38 - WORK7</t>
  </si>
  <si>
    <t>PCC NF 51 - WORK7</t>
  </si>
  <si>
    <t>PCC NF 65491 - INDCOM</t>
  </si>
  <si>
    <t>PCC NF 66695 - INDCOM</t>
  </si>
  <si>
    <t>HOSANI ALEIXO MACHADO</t>
  </si>
  <si>
    <t xml:space="preserve">OXIGENIO </t>
  </si>
  <si>
    <t>ANDRE DE OLIVEIRA CHAGAS</t>
  </si>
  <si>
    <t>DAVID PEREIRA FARINHA</t>
  </si>
  <si>
    <t>GILMAR PIRES DE MORAIS</t>
  </si>
  <si>
    <t>KEILA SANTANA VEIGA</t>
  </si>
  <si>
    <t>NADIA APARECIDA DE MORAIS</t>
  </si>
  <si>
    <t>P INH AG</t>
  </si>
  <si>
    <t>MAURA LUIZA DOS SANTOS PEIXOTO</t>
  </si>
  <si>
    <t>MAYARA GOMES BORGES</t>
  </si>
  <si>
    <t>RAFAELLA PAMELA ARAUJO GOODINHO</t>
  </si>
  <si>
    <t xml:space="preserve">DEVOLUÇAO DE JUROS E MULTAS </t>
  </si>
  <si>
    <t>MY COMMERCE BRASIL</t>
  </si>
  <si>
    <t>SINDICATO</t>
  </si>
  <si>
    <t>SINDICATO BIOMEDICO</t>
  </si>
  <si>
    <t>Outras despesas com Pessoal</t>
  </si>
  <si>
    <t>SINDICATO DOS FISIOTERAPEUTA</t>
  </si>
  <si>
    <t>SINDICATO EMP EST SERV SAUDE</t>
  </si>
  <si>
    <t>SINDICATO ENFERMEIROS</t>
  </si>
  <si>
    <t xml:space="preserve">SINDICATO FARMACEUTICOS </t>
  </si>
  <si>
    <t>SINDICATO MEDICOSESTADO GOIAS</t>
  </si>
  <si>
    <t>SINDICATO NUTRICIONISTA</t>
  </si>
  <si>
    <t>SINDICATO TEC AUX RADIOLOGIA</t>
  </si>
  <si>
    <t>SINDICATO TEC SEGURANÇA TRABALHO</t>
  </si>
  <si>
    <t>RENDIMENTOS MÊS 04/2016</t>
  </si>
  <si>
    <t xml:space="preserve">TARIFA </t>
  </si>
  <si>
    <t>NF 248661</t>
  </si>
  <si>
    <t>NF 2589</t>
  </si>
  <si>
    <t>CHEQUE 000020</t>
  </si>
  <si>
    <t>NF 34548</t>
  </si>
  <si>
    <t>NF 179219</t>
  </si>
  <si>
    <t>NF 627</t>
  </si>
  <si>
    <t>NF 626</t>
  </si>
  <si>
    <t>INTERNET</t>
  </si>
  <si>
    <t>NF 285195</t>
  </si>
  <si>
    <t>NF 177789</t>
  </si>
  <si>
    <t>FOLHA DE PAGAMENTO - 04/2016</t>
  </si>
  <si>
    <t>NF 54</t>
  </si>
  <si>
    <t>AMANDA KAROLINA RODRIGUES PEREIRA</t>
  </si>
  <si>
    <t>FGTS SOBRE FOLHA - 04/2016</t>
  </si>
  <si>
    <t>LIVIA MARIA DE OLIVEIRA</t>
  </si>
  <si>
    <t>NF 75539</t>
  </si>
  <si>
    <t>NF 2912</t>
  </si>
  <si>
    <t>REGINA RODRIGUES DOS SANTOS</t>
  </si>
  <si>
    <t>ROBERTA DA SILVA FLORENTINO FERREIRA</t>
  </si>
  <si>
    <t>ADAUTO RIBEIRO DOS SANTOS</t>
  </si>
  <si>
    <t xml:space="preserve">NF 1465 </t>
  </si>
  <si>
    <t>ANDERSON DO AMARAL PEREIRA</t>
  </si>
  <si>
    <t>DOC/TED INTERNET</t>
  </si>
  <si>
    <t>JULIANA DE MOURA BORGES</t>
  </si>
  <si>
    <t>MARIA INEZ SIMOA DE MORAIS</t>
  </si>
  <si>
    <t>RODOLFO BONFIM SIQUEIRA DE ALMEIDA</t>
  </si>
  <si>
    <t>SAULO FREIRE MARTINS</t>
  </si>
  <si>
    <t>NF 177983</t>
  </si>
  <si>
    <t>NF 177994</t>
  </si>
  <si>
    <t>CYNTHIA MESQUITA LOPES</t>
  </si>
  <si>
    <t>NF 22210</t>
  </si>
  <si>
    <t>NF 22659</t>
  </si>
  <si>
    <t>NF 10699</t>
  </si>
  <si>
    <t>NF 369778</t>
  </si>
  <si>
    <t>NF 177</t>
  </si>
  <si>
    <t>NF 22</t>
  </si>
  <si>
    <t>NF 21</t>
  </si>
  <si>
    <t>JOELMA FERREIRA DA COSTA - CRIARTE COMUNICAÇAO</t>
  </si>
  <si>
    <t>NF 8833</t>
  </si>
  <si>
    <t>NF 8821</t>
  </si>
  <si>
    <t>NF 9604</t>
  </si>
  <si>
    <t>NF 5886</t>
  </si>
  <si>
    <t>OI MOVEL</t>
  </si>
  <si>
    <t>NF 4666</t>
  </si>
  <si>
    <t>NF 1084</t>
  </si>
  <si>
    <t>NF 1068</t>
  </si>
  <si>
    <t>NF 1077</t>
  </si>
  <si>
    <t>NF 6753</t>
  </si>
  <si>
    <t>ALICERCE MATERIAS DE CONSTRUÇAO - SIMONE E RIBEIRO</t>
  </si>
  <si>
    <t>NF 675</t>
  </si>
  <si>
    <t>NF 3870</t>
  </si>
  <si>
    <t>NF 1663</t>
  </si>
  <si>
    <t>NF 50478</t>
  </si>
  <si>
    <t>NF 50799</t>
  </si>
  <si>
    <t>NF 50697</t>
  </si>
  <si>
    <t>NF 50755</t>
  </si>
  <si>
    <t>NF 50848</t>
  </si>
  <si>
    <t>NF 50477</t>
  </si>
  <si>
    <t>NF 50754</t>
  </si>
  <si>
    <t>NF 50110</t>
  </si>
  <si>
    <t>NF 50696</t>
  </si>
  <si>
    <t>NF 3788</t>
  </si>
  <si>
    <t>NF 5325</t>
  </si>
  <si>
    <t>EFATA PRODUTOS DESCARTAVEIS HIGIENE</t>
  </si>
  <si>
    <t>Material de expediente</t>
  </si>
  <si>
    <t>NF 35</t>
  </si>
  <si>
    <t>NF 950</t>
  </si>
  <si>
    <t>NF 19</t>
  </si>
  <si>
    <t>NF 21664</t>
  </si>
  <si>
    <t>NF 21642</t>
  </si>
  <si>
    <t>NF 21727</t>
  </si>
  <si>
    <t>NF 15</t>
  </si>
  <si>
    <t>NF 112</t>
  </si>
  <si>
    <t>NF 1130</t>
  </si>
  <si>
    <t>NF 79</t>
  </si>
  <si>
    <t>NF 1386</t>
  </si>
  <si>
    <t>NF 1384</t>
  </si>
  <si>
    <t>NF 779</t>
  </si>
  <si>
    <t>NF 781</t>
  </si>
  <si>
    <t>NF 783</t>
  </si>
  <si>
    <t>NF 784</t>
  </si>
  <si>
    <t>NF 1063</t>
  </si>
  <si>
    <t>NF 40</t>
  </si>
  <si>
    <t>NF 27075</t>
  </si>
  <si>
    <t>NF 14938</t>
  </si>
  <si>
    <t>NF 63</t>
  </si>
  <si>
    <t>NF 177450</t>
  </si>
  <si>
    <t>NF 661</t>
  </si>
  <si>
    <t>NF 46847</t>
  </si>
  <si>
    <t>NF 7206</t>
  </si>
  <si>
    <t>CS GROUP IMPORTADORA E EXPORTADORA</t>
  </si>
  <si>
    <t>ISS - RPA ADAUTO RIBEIRO DOS SANTOS</t>
  </si>
  <si>
    <t>ISS - RPA ANDERSON DO AMARAL PEREIRA</t>
  </si>
  <si>
    <t>ISS - RPA DANILO EDUARDO QUEIROZ</t>
  </si>
  <si>
    <t>ISS - RPA DEBORA DE OLIVEIRA CANEDO</t>
  </si>
  <si>
    <t>ISS - RPA RODOLFO BONFIM SIQUEIRA</t>
  </si>
  <si>
    <t>ISS NF 07 - LIMPECOL</t>
  </si>
  <si>
    <t>ISS NF 1412 - FIEL ADMINISTRAÇAO</t>
  </si>
  <si>
    <t>ISS NF 1427 - FIEL ADMINISTRAÇAO</t>
  </si>
  <si>
    <t>ISS NF 2995 - TOTAL VIGILANCIA</t>
  </si>
  <si>
    <t>ISS NF 2996 - TOTAL VIGILANCIA</t>
  </si>
  <si>
    <t xml:space="preserve">ISS NF 45 - SETMAIER </t>
  </si>
  <si>
    <t>LOANA CAMILA APARARECIDO</t>
  </si>
  <si>
    <t>NF 1706</t>
  </si>
  <si>
    <t>GPS NF 07 - LIMPECOL</t>
  </si>
  <si>
    <t>GPS NF 1412 - FIEL ADMINISTRAÇAO</t>
  </si>
  <si>
    <t>GPS NF 1427 - FIEL ADMINISTRAÇAO</t>
  </si>
  <si>
    <t>GPS NF 2996 - TOTAL VIGILANCIA</t>
  </si>
  <si>
    <t xml:space="preserve">IRRF </t>
  </si>
  <si>
    <t>IRRF  NF 76 - WORK7</t>
  </si>
  <si>
    <t>IRRF NF 07 - LIMPECOL</t>
  </si>
  <si>
    <t xml:space="preserve">IRRF NF 13317 - PLANISA </t>
  </si>
  <si>
    <t xml:space="preserve">IRRF NF 1412 - FIEL ADMINISTRAÇAO </t>
  </si>
  <si>
    <t xml:space="preserve">IRRF NF 1427 - FIEL ADMINISTRAÇAO </t>
  </si>
  <si>
    <t>IRRF NF 24 - FGA SERVIÇOS MEDICOS</t>
  </si>
  <si>
    <t>IRRF NF 2995 - TOTAL VIGILANCIA</t>
  </si>
  <si>
    <t>IRRF NF 2996 - TOTAL VIGILANCIA</t>
  </si>
  <si>
    <t>PCC</t>
  </si>
  <si>
    <t>PCC NF 13182 - PLANISA</t>
  </si>
  <si>
    <t>PCC NF 1358 - FIEL ADMINISTRACAO</t>
  </si>
  <si>
    <t>PCC NF 2897 - TOTAL VIGILANCIA</t>
  </si>
  <si>
    <t>PCC NF 2898 - TOTAL VIGILANCIA</t>
  </si>
  <si>
    <t>PCC NF 39 - SETMAIER</t>
  </si>
  <si>
    <t>PCC NF 67593 - INDCOM</t>
  </si>
  <si>
    <t>NF 84</t>
  </si>
  <si>
    <t>NF 2918</t>
  </si>
  <si>
    <t>NF 13317</t>
  </si>
  <si>
    <t>NF 13515</t>
  </si>
  <si>
    <t>NF 83</t>
  </si>
  <si>
    <t>NF 45</t>
  </si>
  <si>
    <t>NF 11496</t>
  </si>
  <si>
    <t>GPS NF 45 - SETMAIER</t>
  </si>
  <si>
    <t>IRRF NF 45 - SETMAIER</t>
  </si>
  <si>
    <t>NF 07</t>
  </si>
  <si>
    <t>LIMPECOL SERVIÇOS GERAIS</t>
  </si>
  <si>
    <t>NF 156</t>
  </si>
  <si>
    <t>CB ROCHA METALURGICA</t>
  </si>
  <si>
    <t>DEOLUÇAO</t>
  </si>
  <si>
    <t>DEVOLUÇAO DISTRIBUIDORA BRASIL</t>
  </si>
  <si>
    <t>NF 10934</t>
  </si>
  <si>
    <t>DEVOLUÇAO</t>
  </si>
  <si>
    <t>ENCARGOS SOBRE FGTS</t>
  </si>
  <si>
    <t>NF 884</t>
  </si>
  <si>
    <t>NF 861</t>
  </si>
  <si>
    <t>NF 1399</t>
  </si>
  <si>
    <t>GPS SOBRE FOLHA 04/2016</t>
  </si>
  <si>
    <t>IRRF SOBRE FOLHA 03/2016</t>
  </si>
  <si>
    <t>IRRF SOBRE RPA 03/2016</t>
  </si>
  <si>
    <t>PIS SOBRE FOLHA 04/2016</t>
  </si>
  <si>
    <t xml:space="preserve">NF 197738 </t>
  </si>
  <si>
    <t>NF 197750</t>
  </si>
  <si>
    <t xml:space="preserve">FÉRIAS </t>
  </si>
  <si>
    <t>THAIS RAIANE FIGUEIREDO</t>
  </si>
  <si>
    <t>NF 2953</t>
  </si>
  <si>
    <t>NF 2952</t>
  </si>
  <si>
    <t>NF 4708</t>
  </si>
  <si>
    <t>VERSALLES ETIQUETAS</t>
  </si>
  <si>
    <t>NF 71</t>
  </si>
  <si>
    <t>NF 31727</t>
  </si>
  <si>
    <t>DEV JUROS E MULTAS DE DUAM</t>
  </si>
  <si>
    <t>EST TAR TED INTERNET</t>
  </si>
  <si>
    <t xml:space="preserve">RESSARCIMENTO PIRINOPOLES - 13° SALARIO </t>
  </si>
  <si>
    <t>NF 265531</t>
  </si>
  <si>
    <t xml:space="preserve">NF 177983 </t>
  </si>
  <si>
    <t>NF 60600</t>
  </si>
  <si>
    <t>TIRADENTES MEDICO HOSPITALAR</t>
  </si>
  <si>
    <t>ADRIANE DA ROCHA BRITO</t>
  </si>
  <si>
    <t>NF 256098</t>
  </si>
  <si>
    <t>AMANDA CURADO PEIXOTO</t>
  </si>
  <si>
    <t>DOUGLAS OLIVEIRA LOPES</t>
  </si>
  <si>
    <t>MARCELO CARVALHO DE SOUSA</t>
  </si>
  <si>
    <t>NF 275000</t>
  </si>
  <si>
    <t>NF 271599</t>
  </si>
  <si>
    <t>NF 273245</t>
  </si>
  <si>
    <t xml:space="preserve">NF 274958 </t>
  </si>
  <si>
    <t>NF 271269</t>
  </si>
  <si>
    <t>NF 271510</t>
  </si>
  <si>
    <t>NF 273195</t>
  </si>
  <si>
    <t>NF 272790</t>
  </si>
  <si>
    <t>NF 274243</t>
  </si>
  <si>
    <t>NF 273251</t>
  </si>
  <si>
    <t>NF 275265</t>
  </si>
  <si>
    <t>NF 275073</t>
  </si>
  <si>
    <t>NF 273260</t>
  </si>
  <si>
    <t>NF 274920</t>
  </si>
  <si>
    <t>NF 269737</t>
  </si>
  <si>
    <t>NF 269778</t>
  </si>
  <si>
    <t>WALDIVINO DE SOUZA CANEDO</t>
  </si>
  <si>
    <t>férias</t>
  </si>
  <si>
    <t>WANUSA NAVES CANEDO BARBOSA</t>
  </si>
  <si>
    <t>WILDETH APARECIDA BATISTA</t>
  </si>
  <si>
    <t>DARE</t>
  </si>
  <si>
    <t>ARTE BALANÇO 2015</t>
  </si>
  <si>
    <t>EST DB TED</t>
  </si>
  <si>
    <t>NF 69784</t>
  </si>
  <si>
    <t>NF 96630</t>
  </si>
  <si>
    <t>APL194-9</t>
  </si>
  <si>
    <t>RENDIMENTOS MÊS 05/2016</t>
  </si>
  <si>
    <t>APL141-8</t>
  </si>
  <si>
    <t>NF 2654</t>
  </si>
  <si>
    <t>NF 977</t>
  </si>
  <si>
    <t>VANDIRA ABRENHOSA DA SILVA</t>
  </si>
  <si>
    <t>NF 11979</t>
  </si>
  <si>
    <t>NF 26766</t>
  </si>
  <si>
    <t>TRANSFERENCIA</t>
  </si>
  <si>
    <t>TRANSFERENCIA ENTRE CONTAS - 141-8</t>
  </si>
  <si>
    <t>ACERTO</t>
  </si>
  <si>
    <t>Aplicaçao</t>
  </si>
  <si>
    <t>DEP JUDICIAL</t>
  </si>
  <si>
    <t>GUIA DEPOSITO JUDICIAL - NADIA A. DE MORAIS</t>
  </si>
  <si>
    <t>NF 654</t>
  </si>
  <si>
    <t>NF 653</t>
  </si>
  <si>
    <t>NF 289839</t>
  </si>
  <si>
    <t>RESGATE</t>
  </si>
  <si>
    <t>RESGATE AUTOMATICO</t>
  </si>
  <si>
    <t>Resgate</t>
  </si>
  <si>
    <t xml:space="preserve">ALESSANDRA SAMPAIO DA SILVS </t>
  </si>
  <si>
    <t>ALZIRA ALVES DE AS</t>
  </si>
  <si>
    <t>ANA ILZA DE SÁ</t>
  </si>
  <si>
    <t>CAMILA LOPES BARROS</t>
  </si>
  <si>
    <t>CARLA TATIANE GOMES DA SILVA</t>
  </si>
  <si>
    <t>CIBELE RODRIGUES DE PINA CARDOSO</t>
  </si>
  <si>
    <t>CINARA CRISTINA FERNANDES DE OLIVEIRA</t>
  </si>
  <si>
    <t>DIEGO BATISTA DA SILVA E SOUZA</t>
  </si>
  <si>
    <t>DIVINA LAUDELINO DA COSTA</t>
  </si>
  <si>
    <t>FGTS S/FOLHA - 05/2016</t>
  </si>
  <si>
    <t>FOLHA PAGAMENTO 05/2016</t>
  </si>
  <si>
    <t>GAUCO ARAUJO RODRIGUES</t>
  </si>
  <si>
    <t>KEILA SUZANA DE MORAIS</t>
  </si>
  <si>
    <t>LILIA SANTANA DE ADRIAO MOURA</t>
  </si>
  <si>
    <t>LUCIANA GABRIELLY GOMES JACINTO</t>
  </si>
  <si>
    <t>LUNA CORIANDRE DE CAMRGO</t>
  </si>
  <si>
    <t>MARCO ANTONIO PINEDA</t>
  </si>
  <si>
    <t xml:space="preserve">MARIA APARECIDA RODRIGUES </t>
  </si>
  <si>
    <t>NILVA AMORIM SOARES</t>
  </si>
  <si>
    <t>RAPHAEL TOLEDO REMIGGI</t>
  </si>
  <si>
    <t>SINDICATO DOS EMP ESTAB DE SERCIÇOS DE SAUDE</t>
  </si>
  <si>
    <t>SANZIO PASCOALLE ANDRADE DOS ANJOS</t>
  </si>
  <si>
    <t>TALYTA CIFIA ALVES PINTO</t>
  </si>
  <si>
    <t>VIVIANE BATISTA DOS SANTOS</t>
  </si>
  <si>
    <t>NF 21640</t>
  </si>
  <si>
    <t>MICHELLE CRISTINA JAYME</t>
  </si>
  <si>
    <t>DANILO EDUARDO QUEIROZ FREDERICO</t>
  </si>
  <si>
    <t>GABRIEL LACERDA SANTOS</t>
  </si>
  <si>
    <t>SONIA MARTINS RIBEIRO REIS</t>
  </si>
  <si>
    <t>NF 3952</t>
  </si>
  <si>
    <t>NF 276</t>
  </si>
  <si>
    <t>AM DE MELO - NOTA DEZ</t>
  </si>
  <si>
    <t>NF 546</t>
  </si>
  <si>
    <t xml:space="preserve">BRZEZINSKI ADVOGADOS ASSOCIADOS </t>
  </si>
  <si>
    <t>NF 2271</t>
  </si>
  <si>
    <t>CASA SÃO JOSE COMERCIO DE ALIMENTOS</t>
  </si>
  <si>
    <t>NF 50895</t>
  </si>
  <si>
    <t>NF 5548</t>
  </si>
  <si>
    <t>NF 5549</t>
  </si>
  <si>
    <t>NF 4789</t>
  </si>
  <si>
    <t>NF 902</t>
  </si>
  <si>
    <t>NF 43</t>
  </si>
  <si>
    <t>NF 1273</t>
  </si>
  <si>
    <t>FIGUEIREDO E PINA</t>
  </si>
  <si>
    <t>NF 1272</t>
  </si>
  <si>
    <t>NF 230</t>
  </si>
  <si>
    <t>HONDINELLY SANTANA DE MELO</t>
  </si>
  <si>
    <t>NF 323</t>
  </si>
  <si>
    <t>KINKAS POLPAS</t>
  </si>
  <si>
    <t xml:space="preserve">NF 9604 </t>
  </si>
  <si>
    <t>NF 2127</t>
  </si>
  <si>
    <t>MELO E LOBO LTDA</t>
  </si>
  <si>
    <t>NF 1014</t>
  </si>
  <si>
    <t>MINIMERCADO MOREIRA LTDA</t>
  </si>
  <si>
    <t>NF 21840</t>
  </si>
  <si>
    <t>NF 21601</t>
  </si>
  <si>
    <t>NF 22149</t>
  </si>
  <si>
    <t>NF 22081</t>
  </si>
  <si>
    <t>NF 22082</t>
  </si>
  <si>
    <t>NF 135199</t>
  </si>
  <si>
    <t>NF 76720</t>
  </si>
  <si>
    <t>NF 1147</t>
  </si>
  <si>
    <t>NF 203805</t>
  </si>
  <si>
    <t>NF 1122</t>
  </si>
  <si>
    <t>NF 1123</t>
  </si>
  <si>
    <t>NF 1126</t>
  </si>
  <si>
    <t>NF 46</t>
  </si>
  <si>
    <t>NF 6982</t>
  </si>
  <si>
    <t>NF 27209</t>
  </si>
  <si>
    <t>NF 26412</t>
  </si>
  <si>
    <t>NF 23251</t>
  </si>
  <si>
    <t>NF 276740</t>
  </si>
  <si>
    <t>NF 51</t>
  </si>
  <si>
    <t>BARBARA VANESSA LOURENCO DA SILVA</t>
  </si>
  <si>
    <t>NF 24</t>
  </si>
  <si>
    <t>NF 693</t>
  </si>
  <si>
    <t>NF 47808</t>
  </si>
  <si>
    <t>NF 52</t>
  </si>
  <si>
    <t xml:space="preserve">ISS NF 09 - LIMPECOL SERVIÇOS GERAIS </t>
  </si>
  <si>
    <t xml:space="preserve">ISS NF 1446 - FIEL ADMINISTRACAO </t>
  </si>
  <si>
    <t xml:space="preserve">ISS NF 3053 - TOTAL VIGILANCIA </t>
  </si>
  <si>
    <t xml:space="preserve">ISS NF 3054 - TOTAL VIGILANCIA </t>
  </si>
  <si>
    <t xml:space="preserve">ISS NF 3055 - TOTAL VIGILANCIA </t>
  </si>
  <si>
    <t>ISS NF 46 - SETMAIER ENGENHARIA</t>
  </si>
  <si>
    <t>ISS NF 47 - SETMAIER ENGENHARIA</t>
  </si>
  <si>
    <t>ISS NF 48 - SETMAIER ENGENHARIA</t>
  </si>
  <si>
    <t>NF 1005</t>
  </si>
  <si>
    <t>NF 113</t>
  </si>
  <si>
    <t>NF 2996</t>
  </si>
  <si>
    <t>NF 2995</t>
  </si>
  <si>
    <t>NF 15160</t>
  </si>
  <si>
    <t>NF 2923</t>
  </si>
  <si>
    <t>NF 87</t>
  </si>
  <si>
    <t>NF 13074</t>
  </si>
  <si>
    <t>NF 3981</t>
  </si>
  <si>
    <t>NF 3992</t>
  </si>
  <si>
    <t>NF 346</t>
  </si>
  <si>
    <t>NF 384</t>
  </si>
  <si>
    <t>NF 383</t>
  </si>
  <si>
    <t xml:space="preserve">NF 01 </t>
  </si>
  <si>
    <t>NF 12276</t>
  </si>
  <si>
    <t xml:space="preserve">NF 22659 </t>
  </si>
  <si>
    <t>NF 112001</t>
  </si>
  <si>
    <t xml:space="preserve">NF 22210 </t>
  </si>
  <si>
    <t xml:space="preserve">NF 51981 </t>
  </si>
  <si>
    <t>NF 51964</t>
  </si>
  <si>
    <t>NF 51963</t>
  </si>
  <si>
    <t>NF 48</t>
  </si>
  <si>
    <t>NF 186</t>
  </si>
  <si>
    <t>NF 1427</t>
  </si>
  <si>
    <t>FIEL ADMINISTRAÇÃO E SERVIÇOS LTDA</t>
  </si>
  <si>
    <t>NF 1412</t>
  </si>
  <si>
    <t>NF 1286</t>
  </si>
  <si>
    <t>GPS NF 09 - LIMPECOL</t>
  </si>
  <si>
    <t>GPS NF 1446 - FIEL ADMINISTRAÇAO</t>
  </si>
  <si>
    <t>GPS NF 3053 - TOTAl VIGILANCIA</t>
  </si>
  <si>
    <t>GPS NF 3054 - TOTAl VIGILANCIA</t>
  </si>
  <si>
    <t>GPS NF 46 - SETMAIER ENGENHARIA</t>
  </si>
  <si>
    <t>GPS NF 47 - SETMAIER ENGENHARIA</t>
  </si>
  <si>
    <t>GPS NF 48 - SETMAIER ENGENHARIA</t>
  </si>
  <si>
    <t>GPS S/ FOLHA 05/2016</t>
  </si>
  <si>
    <t>IRRF NF 09 - LIMPECOL</t>
  </si>
  <si>
    <t>IRRF NF 13515 - PLANISA</t>
  </si>
  <si>
    <t>IRRF NF 13681 - PLANISA</t>
  </si>
  <si>
    <t>IRRF NF 1446 - FIEL ADMINISTRAÇAO</t>
  </si>
  <si>
    <t>IRRF NF 26 - FGA SERVIÇOS MEDICOS</t>
  </si>
  <si>
    <t>IRRF NF 3053 - TOTAL VIGILANCIA</t>
  </si>
  <si>
    <t>IRRF NF 3054 - TOTAL VIGILANCIA</t>
  </si>
  <si>
    <t>IRRF NF 3055 - TOTAL VIGILANCIA</t>
  </si>
  <si>
    <t>IRRF NF 47 - SETMAIER ENGENHARIA</t>
  </si>
  <si>
    <t>IRRF NF 48 - SETMAIER ENGENHARIA</t>
  </si>
  <si>
    <t>IRRF NF 81 - WORK7</t>
  </si>
  <si>
    <t>IRRF S/ FÉRIAS 05/2016</t>
  </si>
  <si>
    <t>IRRF S/ FOLHA 04/2016</t>
  </si>
  <si>
    <t>NF 09</t>
  </si>
  <si>
    <t>NF 176</t>
  </si>
  <si>
    <t>MASTER GESTORA DE SERVIÇOS LTDA</t>
  </si>
  <si>
    <t xml:space="preserve">NF 22149 </t>
  </si>
  <si>
    <t xml:space="preserve">NF 21840 </t>
  </si>
  <si>
    <t>NF 22474</t>
  </si>
  <si>
    <t xml:space="preserve">PCC </t>
  </si>
  <si>
    <t xml:space="preserve">PCC NF 07 - LIMPECOL </t>
  </si>
  <si>
    <t>NF 14252</t>
  </si>
  <si>
    <t>PCC NF 22 - FGA SERVIÇOS MEDICOS</t>
  </si>
  <si>
    <t>PCC NF 285195 - PNCQ</t>
  </si>
  <si>
    <t xml:space="preserve">PCC NF 54 - ACTION CONSULTORIA </t>
  </si>
  <si>
    <t xml:space="preserve">PCC NF 63 - WORK7 AUDITORES </t>
  </si>
  <si>
    <t>PCC NF 13315 - PLANISA</t>
  </si>
  <si>
    <t>PCC NF 13317 - PLANISA</t>
  </si>
  <si>
    <t>PCC NF 1399 - FIEL ADMINISTRAÇAO</t>
  </si>
  <si>
    <t>PIS S/ FOLHA 05/2016</t>
  </si>
  <si>
    <t>PCC NF 2952 - TOTAL VIGILANCIA</t>
  </si>
  <si>
    <t>PCC NF 2953 - TOTAL VIGILANCIA</t>
  </si>
  <si>
    <t>PCC NF 40 - SETMAIER ENGENHARIA</t>
  </si>
  <si>
    <t>PCC NF 45 - SETMAIER ENGENHARIA</t>
  </si>
  <si>
    <t>PCC NF 46 - SETMAIER ENGENHARIA</t>
  </si>
  <si>
    <t>PCC NF 68784 - INDCOM</t>
  </si>
  <si>
    <t>NF 88</t>
  </si>
  <si>
    <t>NF 204805 - 01/02</t>
  </si>
  <si>
    <t>NF 204726 - 01/02</t>
  </si>
  <si>
    <t>NF 4716</t>
  </si>
  <si>
    <t>NF 47</t>
  </si>
  <si>
    <t>NF 6989</t>
  </si>
  <si>
    <t>NF 275000 - 02/03</t>
  </si>
  <si>
    <t xml:space="preserve">NF 275265 </t>
  </si>
  <si>
    <t>NF 275073 - 02/02</t>
  </si>
  <si>
    <t xml:space="preserve">NF 277675 </t>
  </si>
  <si>
    <t xml:space="preserve">NF 277652 </t>
  </si>
  <si>
    <t xml:space="preserve">NF 277654 </t>
  </si>
  <si>
    <t xml:space="preserve">NF 277619 </t>
  </si>
  <si>
    <t>NF 76</t>
  </si>
  <si>
    <t xml:space="preserve">DIFERENÇA DE PGTO DE JUROS - LOCALIZA </t>
  </si>
  <si>
    <t>NF 03</t>
  </si>
  <si>
    <t>NURSING QUALIFICAÇAO PROFISSIONAL</t>
  </si>
  <si>
    <t>TRANSFERENCIA ENTRE CONTAS - 317-8</t>
  </si>
  <si>
    <t>NF 70109</t>
  </si>
  <si>
    <t>NF 97293</t>
  </si>
  <si>
    <t>NF 13681</t>
  </si>
  <si>
    <t>NF 70162</t>
  </si>
  <si>
    <t>HELGA JAIME DE OLIVEIRA</t>
  </si>
  <si>
    <t xml:space="preserve">MANUTENÇAO CONTA </t>
  </si>
  <si>
    <t>FÉRIAS - 06/2016</t>
  </si>
  <si>
    <t>NF 35384</t>
  </si>
  <si>
    <t>NF 97702</t>
  </si>
  <si>
    <t>WENDELL DE MELO</t>
  </si>
  <si>
    <t>NF 349179</t>
  </si>
  <si>
    <t>TRANSFERENCIA ENTRE CONTAS / 193-0</t>
  </si>
  <si>
    <t>TARIFA</t>
  </si>
  <si>
    <t>MANUTENÇAO CONTA</t>
  </si>
  <si>
    <t>RENDIMENTOS MÊS 06/2016</t>
  </si>
  <si>
    <t>ANDRE LUCIANO PEIXOTO NAVES</t>
  </si>
  <si>
    <t>FOLHA 06/2016</t>
  </si>
  <si>
    <t>CHEQUE 02</t>
  </si>
  <si>
    <t xml:space="preserve">FUNDO FIXO </t>
  </si>
  <si>
    <t xml:space="preserve">LOCAWEB SERVIÇOS DE INTERNET </t>
  </si>
  <si>
    <t>RENATO SIMONI SILVEIRA</t>
  </si>
  <si>
    <t>NF 2782</t>
  </si>
  <si>
    <t>NF 350468</t>
  </si>
  <si>
    <t>NF 350486</t>
  </si>
  <si>
    <t>NF 188902</t>
  </si>
  <si>
    <t>NF 294421</t>
  </si>
  <si>
    <t>TARIFAS BANCARIAS</t>
  </si>
  <si>
    <t>NF 683</t>
  </si>
  <si>
    <t>NF 682</t>
  </si>
  <si>
    <t>FGTS S/FOLHA - 06/2016</t>
  </si>
  <si>
    <t>NF 350600</t>
  </si>
  <si>
    <t>JULIANA VIEIRA DE MELO</t>
  </si>
  <si>
    <t>NF 3054</t>
  </si>
  <si>
    <t>NF 3053</t>
  </si>
  <si>
    <t>NF 170821</t>
  </si>
  <si>
    <t xml:space="preserve">CATRAL REFRIGERAÇAO ELETRODOMESTICOS </t>
  </si>
  <si>
    <t>NF 172</t>
  </si>
  <si>
    <t>CRISTALFARMA COM. REP. IMP.EXP LTDA</t>
  </si>
  <si>
    <t>NF 742</t>
  </si>
  <si>
    <t>REFRIGERAÇAO SÃO PAULO LTDA</t>
  </si>
  <si>
    <t>NF-25589</t>
  </si>
  <si>
    <t>NF 352</t>
  </si>
  <si>
    <t>NF 277</t>
  </si>
  <si>
    <t>ATENDE CALHAS LTDA</t>
  </si>
  <si>
    <t>NF 557</t>
  </si>
  <si>
    <t>NF 11479</t>
  </si>
  <si>
    <t>NF 52132</t>
  </si>
  <si>
    <t>NF 52131</t>
  </si>
  <si>
    <t>NF 5716</t>
  </si>
  <si>
    <t>NF 196</t>
  </si>
  <si>
    <t>NF 26</t>
  </si>
  <si>
    <t>NF 1446</t>
  </si>
  <si>
    <t>NF 44</t>
  </si>
  <si>
    <t>NF 1288</t>
  </si>
  <si>
    <t>NF 1291</t>
  </si>
  <si>
    <t>NF 1287</t>
  </si>
  <si>
    <t>NF 236</t>
  </si>
  <si>
    <t>NF 1003</t>
  </si>
  <si>
    <t>NF 11</t>
  </si>
  <si>
    <t>NF 178</t>
  </si>
  <si>
    <t>NF 1162</t>
  </si>
  <si>
    <t>NF 204804</t>
  </si>
  <si>
    <t>NF 204751</t>
  </si>
  <si>
    <t>NF 206027</t>
  </si>
  <si>
    <t>NF 205938</t>
  </si>
  <si>
    <t>NF 1136</t>
  </si>
  <si>
    <t>NF 277652</t>
  </si>
  <si>
    <t>NF 277795</t>
  </si>
  <si>
    <t>NF 279247</t>
  </si>
  <si>
    <t>NF 3055</t>
  </si>
  <si>
    <t>NF 15410</t>
  </si>
  <si>
    <t>NF 81</t>
  </si>
  <si>
    <t>NF 34822</t>
  </si>
  <si>
    <t>NF 1336672</t>
  </si>
  <si>
    <t>ISS - RPA</t>
  </si>
  <si>
    <t>NF 48739</t>
  </si>
  <si>
    <t>GPS S/FOLHA 13/2015</t>
  </si>
  <si>
    <t>ISS NF 11 - LIMPECOL SERVIÇOS GERAIS</t>
  </si>
  <si>
    <t>ISS NF 1466 - FIEL ADMINISTRAÇAO</t>
  </si>
  <si>
    <t>ISS NF 3099 - TOTAL VIGILANCIA</t>
  </si>
  <si>
    <t>ISS NF 3100 - TOTAL VIGILANCIA</t>
  </si>
  <si>
    <t>ISS NF 51 - SETMAIER ENGENHARIA</t>
  </si>
  <si>
    <t>ISS NF 52 - SETMAIER ENGENHARIA</t>
  </si>
  <si>
    <t>NF 62</t>
  </si>
  <si>
    <t>NF 4880</t>
  </si>
  <si>
    <t>NF 77743</t>
  </si>
  <si>
    <t>NF 27312</t>
  </si>
  <si>
    <t>NF 90990</t>
  </si>
  <si>
    <t xml:space="preserve">BIONEXO DO BRASIL </t>
  </si>
  <si>
    <t>NF 92348</t>
  </si>
  <si>
    <t>NF 352185</t>
  </si>
  <si>
    <t>NF 10068</t>
  </si>
  <si>
    <t>EXCLUSIVA UTILIDADES EQUIPAMENTOS LTDA</t>
  </si>
  <si>
    <t>GPS NF 11 - LIMPECOL</t>
  </si>
  <si>
    <t>GPS NF 1466 - FIEL ADMINISTRAÇAO</t>
  </si>
  <si>
    <t>GPS NF 3099 - TOTAL VIGILANCIA</t>
  </si>
  <si>
    <t>GPS NF 51 - SETMAIER</t>
  </si>
  <si>
    <t>GPS NF 52 - SETMAIER</t>
  </si>
  <si>
    <t>GPS S/FOLHA 06/2016</t>
  </si>
  <si>
    <t>IRRF AUTONOMO - 06/2016</t>
  </si>
  <si>
    <t>IRRF NF 11 - LIMPECOL</t>
  </si>
  <si>
    <t>IRRF NF 1466 - FIEL ADMINISTRAÇAO</t>
  </si>
  <si>
    <t>IRRF NF 28 - FGA SERVIÇOS MEDICOS</t>
  </si>
  <si>
    <t>IRRF NF 3099 - TOTAL VIGILANCIA</t>
  </si>
  <si>
    <t>IRRF NF 3100 - TOTAL VIGILANCIA</t>
  </si>
  <si>
    <t>IRRF NF 51 - SETMAIER ENGENHARIA</t>
  </si>
  <si>
    <t>IRRF NF 52 - SETMAIER ENGENHARIA</t>
  </si>
  <si>
    <t>IRRF NF 70169/70162 - INDCOM AMBIENTAL</t>
  </si>
  <si>
    <t>IRRF NF 86 - WORK7 AUDITORES</t>
  </si>
  <si>
    <t>IRRF S/ FOLHA 05/2016</t>
  </si>
  <si>
    <t>PCC NF 09 - LIMPECOL</t>
  </si>
  <si>
    <t>PCC NF 13681 - PLANISA</t>
  </si>
  <si>
    <t>PCC NF 1412 - FIEL ADMINISTRAÇAO</t>
  </si>
  <si>
    <t>PCC NF 1427 - FIEL ADMINISTRAÇAO</t>
  </si>
  <si>
    <t>PCC NF 24 - FGA SERVIÇOS MEDICOS</t>
  </si>
  <si>
    <t>PCC NF 289839 - PNCQ</t>
  </si>
  <si>
    <t>PCC NF 2995 - TOTAL VIGILANCIA</t>
  </si>
  <si>
    <t>PCC NF 2996 - TOTAL VIGILANCIA</t>
  </si>
  <si>
    <t>PCC NF 47 - SETMAIER ENGENHARIA</t>
  </si>
  <si>
    <t>PCC NF 48 - SETMAIER ENGENHARIA</t>
  </si>
  <si>
    <t>PCC NF 70109 - INDCOM AMBIENTAL</t>
  </si>
  <si>
    <t>PCC NF 70162 - INDCOM AMBIENTAL</t>
  </si>
  <si>
    <t>PCC NF 76 - WORK7 AUDITORES</t>
  </si>
  <si>
    <t>PIS S/ FOLHA 06/2016</t>
  </si>
  <si>
    <t>NF 90</t>
  </si>
  <si>
    <t xml:space="preserve">QUALITY SERVICE </t>
  </si>
  <si>
    <t>NF 4762</t>
  </si>
  <si>
    <t>NF 117</t>
  </si>
  <si>
    <t>NF 22172</t>
  </si>
  <si>
    <t>NF 352827</t>
  </si>
  <si>
    <t>NF 5799</t>
  </si>
  <si>
    <t>NF 5800</t>
  </si>
  <si>
    <t>NF 161427</t>
  </si>
  <si>
    <t>NF 709</t>
  </si>
  <si>
    <t>NF 1027</t>
  </si>
  <si>
    <t>NF 136902</t>
  </si>
  <si>
    <t>NF 13839</t>
  </si>
  <si>
    <t>NF 4010</t>
  </si>
  <si>
    <t>NF 35334</t>
  </si>
  <si>
    <t>NF 12473</t>
  </si>
  <si>
    <t>NF 2928</t>
  </si>
  <si>
    <t>NF 27251</t>
  </si>
  <si>
    <t>ANTONIO LEONARDO GONÇALVES LEITE</t>
  </si>
  <si>
    <t>NF 4633</t>
  </si>
  <si>
    <t>D&amp;D COMPONENTES ELETRONICOS LTDA</t>
  </si>
  <si>
    <t>PCC NF 34 - WORK7 AUDITORES</t>
  </si>
  <si>
    <t>PCC NF 12 - FGA SERVIÇOS MEDICOS</t>
  </si>
  <si>
    <t>IRRF NF 68784 - INDCOM AMBIENTAL</t>
  </si>
  <si>
    <t>PCC NF 18 - FGA SERVIÇOS MEDICOS</t>
  </si>
  <si>
    <t>PCC NF 14 - FGA SERVIÇOS MEDICOS</t>
  </si>
  <si>
    <t>IRRF NF 63 - WORK7 AUDITORES</t>
  </si>
  <si>
    <t>PCC NF 37 - SETMAIER ENGENHARIA</t>
  </si>
  <si>
    <t>IRRF NF 18 - FGA  SERVIÇOS MEDICOS</t>
  </si>
  <si>
    <t>PCC NF 15 - MW OPERAÇOES</t>
  </si>
  <si>
    <t>PCC NF 61359 - INDCOM AMBIENTAL</t>
  </si>
  <si>
    <t>PCC NF 12 - MW OPERAÇOES</t>
  </si>
  <si>
    <t xml:space="preserve">PCC NF 66695 - INDCOM AMBIENTAL </t>
  </si>
  <si>
    <t>PCC NF 14 - MW OPERAÇOES</t>
  </si>
  <si>
    <t>PCC NF 12943 - PLANISA</t>
  </si>
  <si>
    <t>PCC NF 280631 - PNCQ</t>
  </si>
  <si>
    <t>PCC NF 1380 - FIEL ADMINISTRAÇAO</t>
  </si>
  <si>
    <t>PCC NF 71 - WORK7 AUDITORES</t>
  </si>
  <si>
    <t xml:space="preserve">PCC NF 38 - WORK7 AUDITORES </t>
  </si>
  <si>
    <t>NF 71456</t>
  </si>
  <si>
    <t>FÉRIAS - 07/2016</t>
  </si>
  <si>
    <t>RENDIMENTOS MÊS 07/2016</t>
  </si>
  <si>
    <t>RENDIMENTOS MÊS 08/2016</t>
  </si>
  <si>
    <t>APLICAÇAO</t>
  </si>
  <si>
    <t>NF 2863</t>
  </si>
  <si>
    <t xml:space="preserve">CHEQUE </t>
  </si>
  <si>
    <t>NF 35768</t>
  </si>
  <si>
    <t>NF 25421</t>
  </si>
  <si>
    <t>PNEUS VIA NOBRE LTDA</t>
  </si>
  <si>
    <t>NF 98845</t>
  </si>
  <si>
    <t>TARIFA FOLHA</t>
  </si>
  <si>
    <t>DIFERENÇA DE PGTO DE JUROS - LOCALIZA NF 35768</t>
  </si>
  <si>
    <t>DIFERENÇA DE PGTO DE JUROS - PROTEC NF 97293</t>
  </si>
  <si>
    <t>NF 99332</t>
  </si>
  <si>
    <t>NF 355079</t>
  </si>
  <si>
    <t>NF 12915</t>
  </si>
  <si>
    <t xml:space="preserve">MULTI AR CONDICIONADO </t>
  </si>
  <si>
    <t>FGTS S/FOLHA - 07/2016</t>
  </si>
  <si>
    <t xml:space="preserve">FOLHA </t>
  </si>
  <si>
    <t>FOLHA 07/2016</t>
  </si>
  <si>
    <t>NF 299193</t>
  </si>
  <si>
    <t>NF 355591</t>
  </si>
  <si>
    <t>GUIA JUDICIAL</t>
  </si>
  <si>
    <t>GUIA GRU -  0010978-23.2015.5.18.0054 SEESSACEB X IBGH</t>
  </si>
  <si>
    <t>NF 194495</t>
  </si>
  <si>
    <t>NF 137879</t>
  </si>
  <si>
    <t>GUIA GFIP - 0010978-23.2015.5.18.0054 SEESSACEB X IBGH</t>
  </si>
  <si>
    <t>SINDICATO DOS EMP ESTAB DE SERVIÇOS DE SAUDE</t>
  </si>
  <si>
    <t>DIFERENÇA DE PGTO DE JUROS -MEDCOMERCE NF 188902</t>
  </si>
  <si>
    <t>JUBIELLE APARECIDA COSTA GONZAGA</t>
  </si>
  <si>
    <t>PEDRO ELIAS JAIME DE PINA</t>
  </si>
  <si>
    <t>RL PRODUTOS HOSPITALARES</t>
  </si>
  <si>
    <t>WASHINGTON ANEDINO OLIVEIRA CANEDO</t>
  </si>
  <si>
    <t>WELLINGTON LEITE DA COSTA</t>
  </si>
  <si>
    <t>ELIANA DABADIA OLIVEIRA</t>
  </si>
  <si>
    <t xml:space="preserve">GUIA DEPOSITO JUDICIAL - MAYARA CAROLINA </t>
  </si>
  <si>
    <t>LILIAN DA SILVA AGUIAR</t>
  </si>
  <si>
    <t>LUCAS MOTTA BACCARELLI DE BARROS</t>
  </si>
  <si>
    <t>MICHEL MOTA DE SOUZA</t>
  </si>
  <si>
    <t>NF-25908</t>
  </si>
  <si>
    <t>NF 27073</t>
  </si>
  <si>
    <t>NF-25968</t>
  </si>
  <si>
    <t>ARTE PEDRAS COM. MADEIRAS LTDA</t>
  </si>
  <si>
    <t>BICUDOS ENTULHOS LTDA</t>
  </si>
  <si>
    <t>GLEIDYS MORGANA GONÇALVES</t>
  </si>
  <si>
    <t>ISS NF 13 - LIMPECOL SERVIÇOS GERAIS</t>
  </si>
  <si>
    <t>ISS NF 1484 - TOTAL ADMINISTRAÇAO</t>
  </si>
  <si>
    <t>ISS NF 3142 - TOTAL VIGILANCIA</t>
  </si>
  <si>
    <t>ISS NF 3143 - TOTAL VIGILANCIA</t>
  </si>
  <si>
    <t>ISS NF 54 - SETMAIER ENGENHARIA</t>
  </si>
  <si>
    <t>ISS NF 55 - SETMAIER ENGENHARIA</t>
  </si>
  <si>
    <t>MULTIPLA SOLUÇOES TECNOLOGICAS LTDA</t>
  </si>
  <si>
    <t>NTS DO BRASIL COM. DE MAQUINAS E FERRAMENTAS</t>
  </si>
  <si>
    <t>NF 27399</t>
  </si>
  <si>
    <t xml:space="preserve">EMBRATEL </t>
  </si>
  <si>
    <t>GPS NF 13 - LIMPECOL SERVIÇOS GERAIS</t>
  </si>
  <si>
    <t>GPS NF 1484 - TOTAL ADMINISTRAÇAO</t>
  </si>
  <si>
    <t>GPS NF 3142 - TOTAL VIGILANCIA</t>
  </si>
  <si>
    <t>GPS NF 54 - SETMAIER ENGENHARIA</t>
  </si>
  <si>
    <t>GPS NF 55 - SETMAIER ENGENHARIA</t>
  </si>
  <si>
    <t>GPS S/FOLHA 07/2016</t>
  </si>
  <si>
    <t>IRRF AUTONOMO - 07/2016</t>
  </si>
  <si>
    <t>IRRF NF 13 - LIMPECOL SERVIÇOS GERAIS</t>
  </si>
  <si>
    <t xml:space="preserve">IRRF NF 13389 - PLANISA </t>
  </si>
  <si>
    <t xml:space="preserve">IRRF NF 1484 - FIEL ADMINISTRAÇAO </t>
  </si>
  <si>
    <t>IRRF NF 30 - FGA SERVIÇOS MEDICOS</t>
  </si>
  <si>
    <t>IRRF NF 3142 - TOTAL VIGILANCIA</t>
  </si>
  <si>
    <t>IRRF NF 3143 - TOTAL VIGILANCIA</t>
  </si>
  <si>
    <t>IRRF NF 54 - SETMAIER ENGENHARIA</t>
  </si>
  <si>
    <t>IRRF NF 55 - SETMAIER ENGENHARIA</t>
  </si>
  <si>
    <t xml:space="preserve">IRRF NF 61 - ACTION CONSULTORIA </t>
  </si>
  <si>
    <t>IRRF NF 92 - WORK 7 AUDITORES</t>
  </si>
  <si>
    <t>IRRF S/ FOLHA 06/2016</t>
  </si>
  <si>
    <t>PCC NF 11 - LIMPECOL SERVIÇOS GERAIS</t>
  </si>
  <si>
    <t xml:space="preserve">PCC NF 13839 - PLANISA </t>
  </si>
  <si>
    <t>PCC NF 1446 - FIEL ADMINISTRAÇAO</t>
  </si>
  <si>
    <t>PCC NF 26 - FGA SERVIÇOS MEDICOS</t>
  </si>
  <si>
    <t>PCC NF 3053 - TOTAL VIGILANCIA</t>
  </si>
  <si>
    <t>PCC NF 3054 - TOTAL VIGILANCIA</t>
  </si>
  <si>
    <t>PCC NF 3055 - TOTAL VIGILANCIA</t>
  </si>
  <si>
    <t>PCC NF 51 - SETMAIER ENGENHARIA</t>
  </si>
  <si>
    <t>PCC NF 52 - SETMAIER ENGENHARIA</t>
  </si>
  <si>
    <t>PCC NF 71456 -INDCOM AMBIENTAL</t>
  </si>
  <si>
    <t>PCC NF 81 - WORK7 AUDITORES</t>
  </si>
  <si>
    <t>PIS S/ FOLHA 07/2016</t>
  </si>
  <si>
    <t>ALIANÇA HOSPITALAR</t>
  </si>
  <si>
    <t>CORPO DE BOMBEIRO - FEMBOM</t>
  </si>
  <si>
    <t>ELETROZEM S/A</t>
  </si>
  <si>
    <t>LOCADORA GOVESA DE AUTOMOVEIS LTDA</t>
  </si>
  <si>
    <t>ALESSANDRA SAMPAIO DA SILVA NATIVIDADE</t>
  </si>
  <si>
    <t>DAYSE ROSE CARVALHO RIBEIRO</t>
  </si>
  <si>
    <t>VALQUIRIA ELEUTERIO PINHEIRO LIMA</t>
  </si>
  <si>
    <t>VICENTINA GEISA  GOMES LEMOS</t>
  </si>
  <si>
    <t>NF-25936</t>
  </si>
  <si>
    <t>NF 27074</t>
  </si>
  <si>
    <t>NF-25614</t>
  </si>
  <si>
    <t>Taxa Administativa</t>
  </si>
  <si>
    <t>13º Salario</t>
  </si>
  <si>
    <t>FLUXO DE CAIXA</t>
  </si>
  <si>
    <t>SALDO INICIAL</t>
  </si>
  <si>
    <t>RECEITAS</t>
  </si>
  <si>
    <t>( + ) Receita Contrato de Gestão</t>
  </si>
  <si>
    <t>( - ) Glosa</t>
  </si>
  <si>
    <t>( - ) Despesas Adm da executora</t>
  </si>
  <si>
    <t>( +/- ) Rec. / Desp. Financeira</t>
  </si>
  <si>
    <t>( + ) Outras Receitas</t>
  </si>
  <si>
    <t>TOTAL DE RECEITAS</t>
  </si>
  <si>
    <t>TOTAL DE DESPESAS</t>
  </si>
  <si>
    <t>DESPESA DE PESSOAL</t>
  </si>
  <si>
    <t>Serviços medicos PJ</t>
  </si>
  <si>
    <t>Serviços não medicos PJ</t>
  </si>
  <si>
    <t>Sindicatos</t>
  </si>
  <si>
    <t>DESPESA DE MATERIAL</t>
  </si>
  <si>
    <t>MATERIAIS MEDICOS HOSPITALARES</t>
  </si>
  <si>
    <t>Medicamentos</t>
  </si>
  <si>
    <t>Correlatos</t>
  </si>
  <si>
    <t>Materiais de laboratórios</t>
  </si>
  <si>
    <t>Filmes, Químicos e Contrastes Radiológicos</t>
  </si>
  <si>
    <t>Gases Medicinais</t>
  </si>
  <si>
    <t>Outros materiais medicos hospitalares</t>
  </si>
  <si>
    <t>MATERIAIS E INSUMOS DIVERSOS</t>
  </si>
  <si>
    <t>Material de Escritorio</t>
  </si>
  <si>
    <t>Material de Limpeza</t>
  </si>
  <si>
    <t>Materiais  Descartaveis</t>
  </si>
  <si>
    <t>Uniformes, enxovais (Tecidos e Confecções)</t>
  </si>
  <si>
    <t>Combustivel e lubrificantes</t>
  </si>
  <si>
    <t>Dieta Enteral e Paraenteral</t>
  </si>
  <si>
    <t>Outros materiais e insumos</t>
  </si>
  <si>
    <t>DESPESA DE SERVIÇO</t>
  </si>
  <si>
    <t>SERVIÇOS HOSPITALARES</t>
  </si>
  <si>
    <t>Exames de Ultrassonografia</t>
  </si>
  <si>
    <t>Exames de Ecocardiograma</t>
  </si>
  <si>
    <t>Exames de Eletrocardiograma</t>
  </si>
  <si>
    <t>Exames de Endoscopia - EDA</t>
  </si>
  <si>
    <t>Exames Raio X</t>
  </si>
  <si>
    <t>Exames Laboratoriais</t>
  </si>
  <si>
    <t>Serviços de Laudo Médico em exames</t>
  </si>
  <si>
    <t>Serviços de coleta/residuos Hospitalares</t>
  </si>
  <si>
    <t>Serviços Médico do Trabalho</t>
  </si>
  <si>
    <t>Locação Cilindros Gases Medicinais</t>
  </si>
  <si>
    <t>Locação de Equipamentos Hospitalares</t>
  </si>
  <si>
    <t>SERVIÇOS GERAIS</t>
  </si>
  <si>
    <t>Agencia de Turismo/viagens e estadias</t>
  </si>
  <si>
    <t>Serviços TI</t>
  </si>
  <si>
    <t>Serviço de Detetizaçao</t>
  </si>
  <si>
    <t>Locação de Equipamentos Diversos</t>
  </si>
  <si>
    <t>OUTRAS DESPESAS</t>
  </si>
  <si>
    <t>Depositos Recursais/custas Judiciais</t>
  </si>
  <si>
    <t>INVESTIMENTOS</t>
  </si>
  <si>
    <t>Aquisição Equipamentos Médico-Hospitalares</t>
  </si>
  <si>
    <t>Aquisição de Equipamentos em Geral</t>
  </si>
  <si>
    <t xml:space="preserve">RESULTADO ACUMULADO </t>
  </si>
  <si>
    <t>RECEITAS DO PERIODO</t>
  </si>
  <si>
    <t>DESPESAS DO PERIODO</t>
  </si>
  <si>
    <t>SALDO FINAL DO PERIODO</t>
  </si>
  <si>
    <t>Ano: 2018</t>
  </si>
  <si>
    <t>Data Pagamento</t>
  </si>
  <si>
    <t>N° Doc</t>
  </si>
  <si>
    <t>Parcela</t>
  </si>
  <si>
    <t xml:space="preserve">FORNECEDOR </t>
  </si>
  <si>
    <t>Natureza</t>
  </si>
  <si>
    <t>193-0</t>
  </si>
  <si>
    <t>Resgate Automatico</t>
  </si>
  <si>
    <t>141-8</t>
  </si>
  <si>
    <t>194-9</t>
  </si>
  <si>
    <t>Raio X</t>
  </si>
  <si>
    <t>Laboratorio</t>
  </si>
  <si>
    <t>Despesas Administrativa executora</t>
  </si>
  <si>
    <t>De-Para</t>
  </si>
  <si>
    <t>Mês/Ano</t>
  </si>
  <si>
    <t>jan/2016</t>
  </si>
  <si>
    <t>fev/2016</t>
  </si>
  <si>
    <t>mar/2016</t>
  </si>
  <si>
    <t>abr/2016</t>
  </si>
  <si>
    <t>mai/2016</t>
  </si>
  <si>
    <t>jun/2016</t>
  </si>
  <si>
    <t>jul/2016</t>
  </si>
  <si>
    <t>ago/2016</t>
  </si>
  <si>
    <t>set/2016</t>
  </si>
  <si>
    <t>out/2016</t>
  </si>
  <si>
    <t>nov/2016</t>
  </si>
  <si>
    <t>dez/2016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</si>
  <si>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</si>
  <si>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</si>
  <si>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</si>
  <si>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</si>
  <si>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</si>
  <si>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</si>
  <si>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</si>
  <si>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</si>
  <si>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</si>
  <si>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</si>
  <si>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</si>
  <si>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</si>
  <si>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SEERRO - DEPARA</t>
  </si>
  <si>
    <t>Entrada Conta Aplicação (+)</t>
  </si>
  <si>
    <t>Saídas Da C/A Por Regates (-)</t>
  </si>
  <si>
    <t>Unidade</t>
  </si>
  <si>
    <t>Saldo</t>
  </si>
  <si>
    <t>HEELJ</t>
  </si>
  <si>
    <t>Inicial</t>
  </si>
  <si>
    <t>final</t>
  </si>
  <si>
    <t>Check</t>
  </si>
  <si>
    <t>Saldo Inicial</t>
  </si>
  <si>
    <t>Saldo Final</t>
  </si>
  <si>
    <t xml:space="preserve">Seguro Predial </t>
  </si>
  <si>
    <t>Conta Aplicação</t>
  </si>
  <si>
    <t>Conta Movimento</t>
  </si>
  <si>
    <t xml:space="preserve">DIF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</si>
</sst>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_-;\-* #,##0.00_-;_-* \-??_-;_-@_-"/>
    <numFmt numFmtId="165" formatCode="#,##0_ ;\-#,##0\ "/>
    <numFmt numFmtId="166" formatCode="_(&quot;R$ &quot;* #,##0.00_);_(&quot;R$ &quot;* \(#,##0.00\);_(&quot;R$ &quot;* &quot;-&quot;??_);_(@_)"/>
    <numFmt numFmtId="167" formatCode="000000"/>
    <numFmt numFmtId="168" formatCode="#,##0.00_ ;[Red]\-#,##0.00\ "/>
    <numFmt numFmtId="169" formatCode="_-* #,##0_-;\-* #,##0_-;_-* \-??_-;_-@_-"/>
  </numFmts>
  <fonts count="57" x14ac:knownFonts="1">
    <font>
      <sz val="11"/>
      <color rgb="FF000000"/>
      <name val="Calibri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b/>
      <sz val="11"/>
      <color rgb="FFFFFFFF"/>
      <name val="Calibri"/>
      <family val="2"/>
    </font>
    <font>
      <b/>
      <sz val="9"/>
      <color rgb="FF000000"/>
      <name val="Times New Roman"/>
      <family val="1"/>
    </font>
    <font>
      <sz val="11"/>
      <color rgb="FFFF0000"/>
      <name val="Calibri"/>
      <family val="2"/>
    </font>
    <font>
      <b/>
      <sz val="11"/>
      <color rgb="FF000000"/>
      <name val="Times New Roman"/>
      <family val="1"/>
    </font>
    <font>
      <i/>
      <sz val="8"/>
      <color rgb="FF000000"/>
      <name val="Cambria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i/>
      <sz val="10"/>
      <color rgb="FF000000"/>
      <name val="Cambria"/>
      <family val="1"/>
    </font>
    <font>
      <i/>
      <sz val="10"/>
      <color rgb="FFC9211E"/>
      <name val="Cambria"/>
      <family val="1"/>
    </font>
    <font>
      <b/>
      <i/>
      <sz val="10"/>
      <color rgb="FF000000"/>
      <name val="Cambria"/>
      <family val="1"/>
    </font>
    <font>
      <b/>
      <i/>
      <sz val="14"/>
      <color rgb="FF000000"/>
      <name val="Cambria"/>
      <family val="1"/>
    </font>
    <font>
      <b/>
      <i/>
      <sz val="11"/>
      <color rgb="FF000000"/>
      <name val="Cambria"/>
      <family val="1"/>
    </font>
    <font>
      <b/>
      <i/>
      <sz val="10"/>
      <color rgb="FFC9211E"/>
      <name val="Cambria"/>
      <family val="1"/>
    </font>
    <font>
      <i/>
      <sz val="8"/>
      <color rgb="FFFF0000"/>
      <name val="Cambria"/>
      <family val="1"/>
    </font>
    <font>
      <b/>
      <i/>
      <sz val="8"/>
      <color rgb="FF000000"/>
      <name val="Cambria"/>
      <family val="1"/>
    </font>
    <font>
      <sz val="10"/>
      <color rgb="FF000000"/>
      <name val="Arial"/>
      <family val="2"/>
    </font>
    <font>
      <sz val="11"/>
      <color rgb="FF333333"/>
      <name val="Calibri"/>
      <family val="2"/>
    </font>
    <font>
      <sz val="10"/>
      <color rgb="FF000000"/>
      <name val="Cambria"/>
      <family val="1"/>
    </font>
    <font>
      <sz val="8"/>
      <color rgb="FFFF0000"/>
      <name val="Cambria"/>
      <family val="1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8"/>
      <color theme="0"/>
      <name val="Trebuchet MS"/>
      <family val="2"/>
    </font>
    <font>
      <sz val="8"/>
      <color rgb="FF000000"/>
      <name val="Trebuchet MS"/>
      <family val="2"/>
    </font>
    <font>
      <b/>
      <sz val="8"/>
      <color theme="0"/>
      <name val="Trebuchet MS"/>
      <family val="2"/>
    </font>
    <font>
      <b/>
      <sz val="8"/>
      <color theme="1"/>
      <name val="Trebuchet MS"/>
      <family val="2"/>
    </font>
    <font>
      <sz val="8"/>
      <color theme="1"/>
      <name val="Trebuchet MS"/>
      <family val="2"/>
    </font>
    <font>
      <b/>
      <i/>
      <sz val="8"/>
      <color theme="1"/>
      <name val="Trebuchet MS"/>
      <family val="2"/>
    </font>
    <font>
      <sz val="8"/>
      <color rgb="FFFF0000"/>
      <name val="Trebuchet MS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8"/>
      <name val="Trebuchet MS"/>
      <family val="2"/>
    </font>
    <font>
      <b/>
      <sz val="8"/>
      <color rgb="FF000000"/>
      <name val="Trebuchet MS"/>
      <family val="2"/>
    </font>
    <font>
      <b/>
      <sz val="8"/>
      <color rgb="FFFFFFFF"/>
      <name val="Trebuchet MS"/>
      <family val="2"/>
    </font>
    <font>
      <b/>
      <sz val="8"/>
      <color rgb="FFFF0000"/>
      <name val="Trebuchet MS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theme="0" tint="-0.249977111117893"/>
      <name val="Trebuchet MS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Trebuchet MS"/>
      <family val="2"/>
    </font>
    <font>
      <b/>
      <i/>
      <sz val="9"/>
      <color theme="0" tint="-0.249977111117893"/>
      <name val="Cambria"/>
      <family val="1"/>
    </font>
    <font>
      <i/>
      <sz val="9"/>
      <color theme="0" tint="-0.249977111117893"/>
      <name val="Cambria"/>
      <family val="1"/>
    </font>
    <font>
      <b/>
      <sz val="9"/>
      <color theme="0" tint="-0.249977111117893"/>
      <name val="Verdana"/>
      <family val="2"/>
    </font>
    <font>
      <sz val="9"/>
      <color theme="0" tint="-0.249977111117893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8EB4E3"/>
        <bgColor rgb="FF95B3D7"/>
      </patternFill>
    </fill>
    <fill>
      <patternFill patternType="solid">
        <fgColor rgb="FFA5A5A5"/>
        <bgColor rgb="FF95B3D7"/>
      </patternFill>
    </fill>
    <fill>
      <patternFill patternType="solid">
        <fgColor rgb="FFFFFF00"/>
        <bgColor rgb="FFFFFF00"/>
      </patternFill>
    </fill>
    <fill>
      <patternFill patternType="solid">
        <fgColor rgb="FF95B3D7"/>
        <bgColor rgb="FF8EB4E3"/>
      </patternFill>
    </fill>
    <fill>
      <patternFill patternType="solid">
        <fgColor rgb="FFDCE6F2"/>
        <bgColor rgb="FFD9D9D9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rgb="FF3F3F3F"/>
      </right>
      <top style="medium">
        <color auto="1"/>
      </top>
      <bottom/>
      <diagonal/>
    </border>
    <border>
      <left style="double">
        <color rgb="FF3F3F3F"/>
      </left>
      <right style="double">
        <color rgb="FF3F3F3F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 style="medium">
        <color auto="1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auto="1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/>
      <diagonal/>
    </border>
  </borders>
  <cellStyleXfs count="15">
    <xf numFmtId="0" fontId="0" fillId="0" borderId="0"/>
    <xf numFmtId="0" fontId="22" fillId="0" borderId="0"/>
    <xf numFmtId="0" fontId="21" fillId="0" borderId="0"/>
    <xf numFmtId="0" fontId="6" fillId="4" borderId="10" applyProtection="0"/>
    <xf numFmtId="164" fontId="26" fillId="0" borderId="0" applyBorder="0" applyProtection="0"/>
    <xf numFmtId="9" fontId="26" fillId="0" borderId="0" applyBorder="0" applyProtection="0"/>
    <xf numFmtId="0" fontId="2" fillId="0" borderId="0"/>
    <xf numFmtId="0" fontId="29" fillId="0" borderId="0"/>
    <xf numFmtId="43" fontId="2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1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</cellStyleXfs>
  <cellXfs count="280">
    <xf numFmtId="0" fontId="0" fillId="0" borderId="0" xfId="0"/>
    <xf numFmtId="0" fontId="4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5" borderId="0" xfId="0" applyFont="1" applyFill="1" applyAlignment="1">
      <alignment wrapText="1"/>
    </xf>
    <xf numFmtId="0" fontId="3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/>
    <xf numFmtId="0" fontId="4" fillId="0" borderId="0" xfId="0" applyFont="1" applyAlignment="1">
      <alignment horizontal="center" wrapText="1"/>
    </xf>
    <xf numFmtId="0" fontId="9" fillId="2" borderId="0" xfId="0" applyFont="1" applyFill="1" applyAlignment="1">
      <alignment horizontal="center" vertical="center"/>
    </xf>
    <xf numFmtId="165" fontId="11" fillId="2" borderId="0" xfId="0" applyNumberFormat="1" applyFont="1" applyFill="1" applyAlignment="1">
      <alignment horizontal="center" vertical="center"/>
    </xf>
    <xf numFmtId="165" fontId="9" fillId="2" borderId="0" xfId="0" applyNumberFormat="1" applyFont="1" applyFill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/>
    </xf>
    <xf numFmtId="165" fontId="12" fillId="2" borderId="0" xfId="0" applyNumberFormat="1" applyFont="1" applyFill="1" applyAlignment="1">
      <alignment horizontal="center" vertical="center"/>
    </xf>
    <xf numFmtId="0" fontId="13" fillId="0" borderId="0" xfId="2" applyFont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164" fontId="13" fillId="0" borderId="0" xfId="4" applyFont="1" applyBorder="1" applyProtection="1"/>
    <xf numFmtId="0" fontId="13" fillId="0" borderId="0" xfId="2" applyFont="1"/>
    <xf numFmtId="0" fontId="15" fillId="0" borderId="0" xfId="2" applyFont="1" applyAlignment="1">
      <alignment horizontal="center"/>
    </xf>
    <xf numFmtId="0" fontId="15" fillId="6" borderId="20" xfId="2" applyFont="1" applyFill="1" applyBorder="1" applyAlignment="1">
      <alignment horizontal="center" vertical="center" wrapText="1"/>
    </xf>
    <xf numFmtId="0" fontId="15" fillId="6" borderId="20" xfId="4" applyNumberFormat="1" applyFont="1" applyFill="1" applyBorder="1" applyAlignment="1" applyProtection="1">
      <alignment horizontal="center" vertical="center" wrapText="1"/>
    </xf>
    <xf numFmtId="0" fontId="13" fillId="7" borderId="0" xfId="2" applyFont="1" applyFill="1" applyAlignment="1">
      <alignment vertical="center" wrapText="1"/>
    </xf>
    <xf numFmtId="0" fontId="15" fillId="0" borderId="0" xfId="2" applyFont="1" applyAlignment="1">
      <alignment horizontal="center" vertical="center" wrapText="1"/>
    </xf>
    <xf numFmtId="164" fontId="13" fillId="7" borderId="0" xfId="4" applyFont="1" applyFill="1" applyBorder="1" applyAlignment="1" applyProtection="1">
      <alignment vertical="center" wrapText="1"/>
    </xf>
    <xf numFmtId="9" fontId="13" fillId="0" borderId="0" xfId="5" applyFont="1" applyBorder="1" applyAlignment="1" applyProtection="1">
      <alignment horizontal="center" vertical="center" wrapText="1"/>
    </xf>
    <xf numFmtId="0" fontId="15" fillId="6" borderId="0" xfId="2" applyFont="1" applyFill="1" applyAlignment="1">
      <alignment vertical="center" wrapText="1"/>
    </xf>
    <xf numFmtId="0" fontId="15" fillId="6" borderId="0" xfId="2" applyFont="1" applyFill="1" applyAlignment="1">
      <alignment horizontal="center" vertical="center" wrapText="1"/>
    </xf>
    <xf numFmtId="164" fontId="15" fillId="6" borderId="0" xfId="4" applyFont="1" applyFill="1" applyBorder="1" applyAlignment="1" applyProtection="1">
      <alignment vertical="center" wrapText="1"/>
    </xf>
    <xf numFmtId="9" fontId="15" fillId="6" borderId="0" xfId="4" applyNumberFormat="1" applyFont="1" applyFill="1" applyBorder="1" applyAlignment="1" applyProtection="1">
      <alignment vertical="center" wrapText="1"/>
    </xf>
    <xf numFmtId="0" fontId="14" fillId="7" borderId="0" xfId="2" applyFont="1" applyFill="1" applyAlignment="1">
      <alignment vertical="center" wrapText="1"/>
    </xf>
    <xf numFmtId="0" fontId="18" fillId="0" borderId="0" xfId="2" applyFont="1" applyAlignment="1">
      <alignment horizontal="center" vertical="center" wrapText="1"/>
    </xf>
    <xf numFmtId="164" fontId="14" fillId="7" borderId="0" xfId="4" applyFont="1" applyFill="1" applyBorder="1" applyAlignment="1" applyProtection="1">
      <alignment vertical="center" wrapText="1"/>
    </xf>
    <xf numFmtId="9" fontId="14" fillId="0" borderId="0" xfId="5" applyFont="1" applyBorder="1" applyAlignment="1" applyProtection="1">
      <alignment horizontal="center" vertical="center" wrapText="1"/>
    </xf>
    <xf numFmtId="0" fontId="15" fillId="6" borderId="20" xfId="2" applyFont="1" applyFill="1" applyBorder="1" applyAlignment="1">
      <alignment vertical="center" wrapText="1"/>
    </xf>
    <xf numFmtId="164" fontId="15" fillId="6" borderId="20" xfId="4" applyFont="1" applyFill="1" applyBorder="1" applyAlignment="1" applyProtection="1">
      <alignment vertical="center" wrapText="1"/>
    </xf>
    <xf numFmtId="9" fontId="15" fillId="6" borderId="20" xfId="5" applyFont="1" applyFill="1" applyBorder="1" applyAlignment="1" applyProtection="1">
      <alignment horizontal="center" vertical="center" wrapText="1"/>
    </xf>
    <xf numFmtId="0" fontId="19" fillId="0" borderId="0" xfId="2" applyFont="1"/>
    <xf numFmtId="0" fontId="20" fillId="0" borderId="0" xfId="2" applyFont="1" applyAlignment="1">
      <alignment horizontal="center"/>
    </xf>
    <xf numFmtId="164" fontId="10" fillId="0" borderId="0" xfId="4" applyFont="1" applyBorder="1" applyProtection="1"/>
    <xf numFmtId="0" fontId="19" fillId="0" borderId="0" xfId="2" applyFont="1" applyAlignment="1">
      <alignment horizontal="left"/>
    </xf>
    <xf numFmtId="164" fontId="13" fillId="0" borderId="0" xfId="4" applyFont="1" applyBorder="1" applyAlignment="1" applyProtection="1">
      <alignment vertical="center" wrapText="1"/>
    </xf>
    <xf numFmtId="164" fontId="14" fillId="0" borderId="0" xfId="4" applyFont="1" applyBorder="1" applyAlignment="1" applyProtection="1">
      <alignment vertical="center" wrapText="1"/>
    </xf>
    <xf numFmtId="164" fontId="15" fillId="0" borderId="0" xfId="4" applyFont="1" applyBorder="1" applyAlignment="1" applyProtection="1">
      <alignment vertical="center" wrapText="1"/>
    </xf>
    <xf numFmtId="0" fontId="11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6" xfId="6" applyBorder="1"/>
    <xf numFmtId="0" fontId="2" fillId="0" borderId="0" xfId="6"/>
    <xf numFmtId="0" fontId="27" fillId="8" borderId="2" xfId="6" applyFont="1" applyFill="1" applyBorder="1"/>
    <xf numFmtId="43" fontId="27" fillId="8" borderId="21" xfId="8" applyFont="1" applyFill="1" applyBorder="1"/>
    <xf numFmtId="14" fontId="2" fillId="0" borderId="6" xfId="6" applyNumberFormat="1" applyBorder="1" applyAlignment="1">
      <alignment horizontal="center"/>
    </xf>
    <xf numFmtId="0" fontId="33" fillId="0" borderId="0" xfId="0" applyFont="1" applyBorder="1"/>
    <xf numFmtId="0" fontId="34" fillId="0" borderId="0" xfId="0" applyFont="1" applyBorder="1" applyAlignment="1">
      <alignment horizontal="center"/>
    </xf>
    <xf numFmtId="0" fontId="34" fillId="0" borderId="0" xfId="0" applyFont="1" applyBorder="1"/>
    <xf numFmtId="0" fontId="4" fillId="12" borderId="6" xfId="0" applyFont="1" applyFill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12" borderId="0" xfId="0" applyFont="1" applyFill="1" applyAlignment="1">
      <alignment wrapText="1"/>
    </xf>
    <xf numFmtId="0" fontId="39" fillId="0" borderId="0" xfId="0" applyFont="1" applyBorder="1"/>
    <xf numFmtId="0" fontId="2" fillId="0" borderId="27" xfId="6" applyBorder="1" applyAlignment="1">
      <alignment horizontal="center"/>
    </xf>
    <xf numFmtId="0" fontId="28" fillId="0" borderId="0" xfId="6" applyFont="1" applyAlignment="1">
      <alignment horizontal="center"/>
    </xf>
    <xf numFmtId="0" fontId="28" fillId="0" borderId="0" xfId="6" applyFont="1" applyAlignment="1">
      <alignment horizontal="left"/>
    </xf>
    <xf numFmtId="14" fontId="28" fillId="0" borderId="0" xfId="6" applyNumberFormat="1" applyFont="1" applyAlignment="1">
      <alignment horizontal="center"/>
    </xf>
    <xf numFmtId="0" fontId="2" fillId="0" borderId="0" xfId="6" applyAlignment="1">
      <alignment horizontal="center"/>
    </xf>
    <xf numFmtId="0" fontId="2" fillId="0" borderId="11" xfId="6" applyBorder="1" applyAlignment="1">
      <alignment horizontal="center"/>
    </xf>
    <xf numFmtId="43" fontId="27" fillId="0" borderId="0" xfId="8" applyFont="1" applyFill="1" applyBorder="1" applyAlignment="1">
      <alignment horizontal="center"/>
    </xf>
    <xf numFmtId="0" fontId="27" fillId="8" borderId="22" xfId="6" applyFont="1" applyFill="1" applyBorder="1" applyAlignment="1">
      <alignment horizontal="center" vertical="top" wrapText="1"/>
    </xf>
    <xf numFmtId="0" fontId="27" fillId="8" borderId="22" xfId="6" applyFont="1" applyFill="1" applyBorder="1" applyAlignment="1">
      <alignment horizontal="left" vertical="top" wrapText="1"/>
    </xf>
    <xf numFmtId="14" fontId="27" fillId="8" borderId="23" xfId="6" applyNumberFormat="1" applyFont="1" applyFill="1" applyBorder="1" applyAlignment="1">
      <alignment horizontal="center" vertical="top" wrapText="1"/>
    </xf>
    <xf numFmtId="0" fontId="27" fillId="8" borderId="24" xfId="6" applyFont="1" applyFill="1" applyBorder="1" applyAlignment="1">
      <alignment horizontal="center" vertical="top" wrapText="1"/>
    </xf>
    <xf numFmtId="0" fontId="2" fillId="0" borderId="6" xfId="6" applyBorder="1" applyAlignment="1">
      <alignment horizontal="center"/>
    </xf>
    <xf numFmtId="0" fontId="2" fillId="0" borderId="6" xfId="6" applyFont="1" applyBorder="1" applyAlignment="1">
      <alignment horizontal="center"/>
    </xf>
    <xf numFmtId="0" fontId="2" fillId="0" borderId="6" xfId="6" applyBorder="1" applyAlignment="1">
      <alignment horizontal="left"/>
    </xf>
    <xf numFmtId="167" fontId="2" fillId="0" borderId="6" xfId="6" applyNumberFormat="1" applyBorder="1" applyAlignment="1">
      <alignment horizontal="center"/>
    </xf>
    <xf numFmtId="43" fontId="0" fillId="0" borderId="6" xfId="8" applyFont="1" applyFill="1" applyBorder="1"/>
    <xf numFmtId="0" fontId="2" fillId="0" borderId="6" xfId="6" applyFill="1" applyBorder="1" applyAlignment="1">
      <alignment horizontal="center"/>
    </xf>
    <xf numFmtId="14" fontId="2" fillId="0" borderId="6" xfId="6" applyNumberFormat="1" applyFill="1" applyBorder="1" applyAlignment="1">
      <alignment horizontal="center"/>
    </xf>
    <xf numFmtId="0" fontId="2" fillId="0" borderId="6" xfId="6" applyFill="1" applyBorder="1"/>
    <xf numFmtId="0" fontId="27" fillId="8" borderId="24" xfId="6" applyFont="1" applyFill="1" applyBorder="1" applyAlignment="1">
      <alignment horizontal="center" vertical="center" wrapText="1"/>
    </xf>
    <xf numFmtId="43" fontId="41" fillId="0" borderId="0" xfId="8" applyFont="1" applyFill="1" applyBorder="1" applyAlignment="1">
      <alignment horizontal="center"/>
    </xf>
    <xf numFmtId="0" fontId="42" fillId="0" borderId="0" xfId="6" applyFont="1"/>
    <xf numFmtId="0" fontId="40" fillId="0" borderId="0" xfId="6" applyFont="1" applyFill="1"/>
    <xf numFmtId="0" fontId="2" fillId="0" borderId="6" xfId="6" applyFill="1" applyBorder="1" applyAlignment="1">
      <alignment horizontal="left"/>
    </xf>
    <xf numFmtId="0" fontId="43" fillId="8" borderId="28" xfId="0" applyFont="1" applyFill="1" applyBorder="1" applyAlignment="1">
      <alignment horizontal="center"/>
    </xf>
    <xf numFmtId="0" fontId="44" fillId="8" borderId="28" xfId="0" applyFont="1" applyFill="1" applyBorder="1" applyAlignment="1">
      <alignment horizontal="center"/>
    </xf>
    <xf numFmtId="0" fontId="33" fillId="0" borderId="29" xfId="0" applyFont="1" applyBorder="1"/>
    <xf numFmtId="0" fontId="34" fillId="0" borderId="29" xfId="0" applyFont="1" applyBorder="1" applyAlignment="1">
      <alignment horizontal="center"/>
    </xf>
    <xf numFmtId="0" fontId="34" fillId="0" borderId="29" xfId="0" applyFont="1" applyBorder="1"/>
    <xf numFmtId="14" fontId="33" fillId="0" borderId="29" xfId="0" applyNumberFormat="1" applyFont="1" applyBorder="1"/>
    <xf numFmtId="14" fontId="35" fillId="9" borderId="29" xfId="0" applyNumberFormat="1" applyFont="1" applyFill="1" applyBorder="1" applyAlignment="1">
      <alignment horizontal="center"/>
    </xf>
    <xf numFmtId="0" fontId="36" fillId="10" borderId="29" xfId="0" applyFont="1" applyFill="1" applyBorder="1"/>
    <xf numFmtId="0" fontId="36" fillId="0" borderId="29" xfId="0" applyFont="1" applyBorder="1"/>
    <xf numFmtId="0" fontId="36" fillId="11" borderId="29" xfId="0" applyFont="1" applyFill="1" applyBorder="1"/>
    <xf numFmtId="0" fontId="34" fillId="0" borderId="29" xfId="0" applyFont="1" applyBorder="1" applyAlignment="1">
      <alignment horizontal="left" indent="1"/>
    </xf>
    <xf numFmtId="0" fontId="37" fillId="0" borderId="29" xfId="0" applyFont="1" applyBorder="1" applyAlignment="1">
      <alignment horizontal="left" indent="1"/>
    </xf>
    <xf numFmtId="0" fontId="36" fillId="13" borderId="29" xfId="0" applyFont="1" applyFill="1" applyBorder="1"/>
    <xf numFmtId="0" fontId="36" fillId="14" borderId="29" xfId="0" applyFont="1" applyFill="1" applyBorder="1"/>
    <xf numFmtId="0" fontId="38" fillId="15" borderId="29" xfId="0" applyFont="1" applyFill="1" applyBorder="1" applyAlignment="1">
      <alignment horizontal="left"/>
    </xf>
    <xf numFmtId="0" fontId="38" fillId="11" borderId="29" xfId="0" applyFont="1" applyFill="1" applyBorder="1" applyAlignment="1">
      <alignment horizontal="left" indent="1"/>
    </xf>
    <xf numFmtId="0" fontId="35" fillId="8" borderId="29" xfId="0" applyFont="1" applyFill="1" applyBorder="1"/>
    <xf numFmtId="0" fontId="35" fillId="8" borderId="25" xfId="0" applyFont="1" applyFill="1" applyBorder="1"/>
    <xf numFmtId="0" fontId="34" fillId="0" borderId="25" xfId="0" applyFont="1" applyBorder="1" applyAlignment="1">
      <alignment horizontal="center"/>
    </xf>
    <xf numFmtId="0" fontId="4" fillId="0" borderId="0" xfId="0" applyFont="1" applyAlignment="1"/>
    <xf numFmtId="0" fontId="3" fillId="5" borderId="0" xfId="0" applyFont="1" applyFill="1" applyAlignment="1"/>
    <xf numFmtId="0" fontId="37" fillId="0" borderId="0" xfId="12" applyFont="1"/>
    <xf numFmtId="0" fontId="36" fillId="0" borderId="30" xfId="12" applyFont="1" applyBorder="1"/>
    <xf numFmtId="17" fontId="36" fillId="0" borderId="30" xfId="12" applyNumberFormat="1" applyFont="1" applyBorder="1" applyAlignment="1"/>
    <xf numFmtId="0" fontId="36" fillId="0" borderId="0" xfId="12" applyFont="1"/>
    <xf numFmtId="0" fontId="37" fillId="0" borderId="30" xfId="12" applyFont="1" applyBorder="1"/>
    <xf numFmtId="168" fontId="37" fillId="0" borderId="30" xfId="12" applyNumberFormat="1" applyFont="1" applyBorder="1"/>
    <xf numFmtId="168" fontId="37" fillId="0" borderId="0" xfId="12" applyNumberFormat="1" applyFont="1"/>
    <xf numFmtId="0" fontId="1" fillId="0" borderId="0" xfId="6" applyFont="1"/>
    <xf numFmtId="0" fontId="34" fillId="0" borderId="0" xfId="0" applyFont="1"/>
    <xf numFmtId="0" fontId="34" fillId="0" borderId="0" xfId="0" applyFont="1" applyAlignment="1">
      <alignment wrapText="1"/>
    </xf>
    <xf numFmtId="0" fontId="44" fillId="0" borderId="0" xfId="0" applyFont="1"/>
    <xf numFmtId="17" fontId="43" fillId="3" borderId="1" xfId="0" applyNumberFormat="1" applyFont="1" applyFill="1" applyBorder="1" applyAlignment="1">
      <alignment horizontal="center" vertical="center" wrapText="1"/>
    </xf>
    <xf numFmtId="17" fontId="43" fillId="0" borderId="1" xfId="0" applyNumberFormat="1" applyFont="1" applyBorder="1" applyAlignment="1">
      <alignment horizontal="center" vertical="center" wrapText="1"/>
    </xf>
    <xf numFmtId="0" fontId="43" fillId="0" borderId="6" xfId="0" applyFont="1" applyBorder="1" applyAlignment="1">
      <alignment horizontal="center" vertical="center" wrapText="1"/>
    </xf>
    <xf numFmtId="4" fontId="45" fillId="4" borderId="3" xfId="3" applyNumberFormat="1" applyFont="1" applyBorder="1" applyAlignment="1" applyProtection="1">
      <alignment horizontal="center" wrapText="1"/>
    </xf>
    <xf numFmtId="4" fontId="45" fillId="4" borderId="4" xfId="3" applyNumberFormat="1" applyFont="1" applyBorder="1" applyAlignment="1" applyProtection="1">
      <alignment horizontal="center" wrapText="1"/>
    </xf>
    <xf numFmtId="4" fontId="45" fillId="4" borderId="4" xfId="3" applyNumberFormat="1" applyFont="1" applyBorder="1" applyProtection="1"/>
    <xf numFmtId="4" fontId="34" fillId="0" borderId="5" xfId="0" applyNumberFormat="1" applyFont="1" applyBorder="1" applyAlignment="1">
      <alignment wrapText="1"/>
    </xf>
    <xf numFmtId="4" fontId="34" fillId="0" borderId="6" xfId="0" applyNumberFormat="1" applyFont="1" applyBorder="1" applyAlignment="1">
      <alignment wrapText="1"/>
    </xf>
    <xf numFmtId="4" fontId="44" fillId="0" borderId="6" xfId="0" applyNumberFormat="1" applyFont="1" applyBorder="1"/>
    <xf numFmtId="4" fontId="44" fillId="0" borderId="5" xfId="0" applyNumberFormat="1" applyFont="1" applyBorder="1" applyAlignment="1">
      <alignment horizontal="center" vertical="center" wrapText="1"/>
    </xf>
    <xf numFmtId="4" fontId="44" fillId="0" borderId="6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4" fontId="44" fillId="0" borderId="5" xfId="0" applyNumberFormat="1" applyFont="1" applyBorder="1" applyAlignment="1">
      <alignment wrapText="1"/>
    </xf>
    <xf numFmtId="4" fontId="44" fillId="0" borderId="6" xfId="0" applyNumberFormat="1" applyFont="1" applyBorder="1" applyAlignment="1">
      <alignment wrapText="1"/>
    </xf>
    <xf numFmtId="4" fontId="44" fillId="0" borderId="7" xfId="0" applyNumberFormat="1" applyFont="1" applyBorder="1" applyAlignment="1">
      <alignment wrapText="1"/>
    </xf>
    <xf numFmtId="4" fontId="44" fillId="0" borderId="5" xfId="0" applyNumberFormat="1" applyFont="1" applyBorder="1"/>
    <xf numFmtId="4" fontId="44" fillId="2" borderId="5" xfId="0" applyNumberFormat="1" applyFont="1" applyFill="1" applyBorder="1"/>
    <xf numFmtId="4" fontId="39" fillId="0" borderId="6" xfId="0" applyNumberFormat="1" applyFont="1" applyBorder="1" applyAlignment="1">
      <alignment wrapText="1"/>
    </xf>
    <xf numFmtId="4" fontId="46" fillId="0" borderId="7" xfId="0" applyNumberFormat="1" applyFont="1" applyBorder="1"/>
    <xf numFmtId="4" fontId="46" fillId="0" borderId="6" xfId="0" applyNumberFormat="1" applyFont="1" applyBorder="1"/>
    <xf numFmtId="4" fontId="46" fillId="0" borderId="5" xfId="0" applyNumberFormat="1" applyFont="1" applyBorder="1"/>
    <xf numFmtId="4" fontId="44" fillId="0" borderId="7" xfId="0" applyNumberFormat="1" applyFont="1" applyBorder="1"/>
    <xf numFmtId="0" fontId="44" fillId="2" borderId="0" xfId="0" applyFont="1" applyFill="1"/>
    <xf numFmtId="4" fontId="44" fillId="0" borderId="13" xfId="0" applyNumberFormat="1" applyFont="1" applyBorder="1"/>
    <xf numFmtId="0" fontId="34" fillId="0" borderId="0" xfId="0" applyFont="1" applyAlignment="1">
      <alignment horizontal="center" wrapText="1"/>
    </xf>
    <xf numFmtId="4" fontId="46" fillId="0" borderId="0" xfId="0" applyNumberFormat="1" applyFont="1"/>
    <xf numFmtId="0" fontId="36" fillId="0" borderId="30" xfId="0" applyFont="1" applyBorder="1"/>
    <xf numFmtId="17" fontId="36" fillId="0" borderId="30" xfId="0" applyNumberFormat="1" applyFont="1" applyBorder="1" applyAlignment="1"/>
    <xf numFmtId="0" fontId="37" fillId="0" borderId="30" xfId="0" applyFont="1" applyBorder="1"/>
    <xf numFmtId="168" fontId="37" fillId="0" borderId="30" xfId="0" applyNumberFormat="1" applyFont="1" applyBorder="1"/>
    <xf numFmtId="0" fontId="37" fillId="0" borderId="0" xfId="12" applyFont="1" applyBorder="1" applyAlignment="1">
      <alignment horizontal="center" vertical="center" textRotation="255"/>
    </xf>
    <xf numFmtId="0" fontId="47" fillId="3" borderId="15" xfId="0" applyFont="1" applyFill="1" applyBorder="1" applyAlignment="1">
      <alignment horizontal="center" vertical="center" wrapText="1"/>
    </xf>
    <xf numFmtId="0" fontId="47" fillId="3" borderId="16" xfId="0" applyFont="1" applyFill="1" applyBorder="1" applyAlignment="1">
      <alignment horizontal="center" vertical="center" wrapText="1"/>
    </xf>
    <xf numFmtId="0" fontId="47" fillId="3" borderId="17" xfId="0" applyFont="1" applyFill="1" applyBorder="1" applyAlignment="1">
      <alignment horizontal="center" vertical="center" wrapText="1"/>
    </xf>
    <xf numFmtId="0" fontId="48" fillId="0" borderId="5" xfId="0" applyFont="1" applyBorder="1" applyAlignment="1">
      <alignment vertical="center"/>
    </xf>
    <xf numFmtId="1" fontId="48" fillId="0" borderId="6" xfId="0" applyNumberFormat="1" applyFont="1" applyBorder="1" applyAlignment="1">
      <alignment horizontal="center" vertical="center"/>
    </xf>
    <xf numFmtId="0" fontId="47" fillId="3" borderId="13" xfId="0" applyFont="1" applyFill="1" applyBorder="1"/>
    <xf numFmtId="165" fontId="47" fillId="3" borderId="14" xfId="0" applyNumberFormat="1" applyFont="1" applyFill="1" applyBorder="1" applyAlignment="1">
      <alignment horizontal="center" vertical="center"/>
    </xf>
    <xf numFmtId="0" fontId="47" fillId="0" borderId="18" xfId="0" applyFont="1" applyBorder="1"/>
    <xf numFmtId="165" fontId="47" fillId="0" borderId="0" xfId="0" applyNumberFormat="1" applyFont="1" applyAlignment="1">
      <alignment horizontal="center" vertical="center"/>
    </xf>
    <xf numFmtId="2" fontId="47" fillId="0" borderId="0" xfId="0" applyNumberFormat="1" applyFont="1" applyAlignment="1">
      <alignment horizontal="center" vertical="center"/>
    </xf>
    <xf numFmtId="0" fontId="49" fillId="3" borderId="15" xfId="0" applyFont="1" applyFill="1" applyBorder="1" applyAlignment="1">
      <alignment horizontal="center" vertical="center" wrapText="1"/>
    </xf>
    <xf numFmtId="0" fontId="48" fillId="0" borderId="13" xfId="0" applyFont="1" applyBorder="1"/>
    <xf numFmtId="165" fontId="48" fillId="0" borderId="14" xfId="0" applyNumberFormat="1" applyFont="1" applyBorder="1" applyAlignment="1">
      <alignment horizontal="center" vertical="center"/>
    </xf>
    <xf numFmtId="0" fontId="48" fillId="0" borderId="13" xfId="0" applyFont="1" applyBorder="1" applyAlignment="1">
      <alignment wrapText="1"/>
    </xf>
    <xf numFmtId="0" fontId="47" fillId="3" borderId="15" xfId="0" applyFont="1" applyFill="1" applyBorder="1"/>
    <xf numFmtId="165" fontId="47" fillId="3" borderId="16" xfId="0" applyNumberFormat="1" applyFont="1" applyFill="1" applyBorder="1" applyAlignment="1">
      <alignment horizontal="center" vertical="center"/>
    </xf>
    <xf numFmtId="9" fontId="15" fillId="6" borderId="0" xfId="13" applyFont="1" applyFill="1" applyBorder="1" applyAlignment="1" applyProtection="1">
      <alignment vertical="center" wrapText="1"/>
    </xf>
    <xf numFmtId="4" fontId="39" fillId="0" borderId="6" xfId="0" applyNumberFormat="1" applyFont="1" applyFill="1" applyBorder="1" applyAlignment="1">
      <alignment wrapText="1"/>
    </xf>
    <xf numFmtId="0" fontId="34" fillId="0" borderId="0" xfId="0" applyFont="1" applyFill="1"/>
    <xf numFmtId="4" fontId="34" fillId="0" borderId="7" xfId="0" applyNumberFormat="1" applyFont="1" applyBorder="1" applyAlignment="1">
      <alignment wrapText="1"/>
    </xf>
    <xf numFmtId="4" fontId="44" fillId="0" borderId="7" xfId="0" applyNumberFormat="1" applyFont="1" applyBorder="1" applyAlignment="1">
      <alignment horizontal="center" vertical="center" wrapText="1"/>
    </xf>
    <xf numFmtId="4" fontId="44" fillId="0" borderId="26" xfId="0" applyNumberFormat="1" applyFont="1" applyBorder="1" applyAlignment="1">
      <alignment wrapText="1"/>
    </xf>
    <xf numFmtId="4" fontId="46" fillId="0" borderId="26" xfId="0" applyNumberFormat="1" applyFont="1" applyBorder="1"/>
    <xf numFmtId="4" fontId="44" fillId="2" borderId="26" xfId="0" applyNumberFormat="1" applyFont="1" applyFill="1" applyBorder="1"/>
    <xf numFmtId="0" fontId="34" fillId="0" borderId="0" xfId="0" applyFont="1" applyFill="1" applyBorder="1"/>
    <xf numFmtId="0" fontId="43" fillId="0" borderId="0" xfId="0" applyFont="1" applyFill="1" applyBorder="1" applyAlignment="1">
      <alignment horizontal="center" vertical="center" wrapText="1"/>
    </xf>
    <xf numFmtId="4" fontId="45" fillId="0" borderId="0" xfId="3" applyNumberFormat="1" applyFont="1" applyFill="1" applyBorder="1" applyProtection="1"/>
    <xf numFmtId="4" fontId="34" fillId="0" borderId="0" xfId="0" applyNumberFormat="1" applyFont="1" applyFill="1" applyBorder="1"/>
    <xf numFmtId="4" fontId="44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4" fontId="44" fillId="0" borderId="0" xfId="0" applyNumberFormat="1" applyFont="1" applyFill="1" applyBorder="1" applyAlignment="1">
      <alignment wrapText="1"/>
    </xf>
    <xf numFmtId="4" fontId="44" fillId="0" borderId="0" xfId="0" applyNumberFormat="1" applyFont="1" applyFill="1" applyBorder="1"/>
    <xf numFmtId="0" fontId="44" fillId="0" borderId="0" xfId="0" applyFont="1" applyFill="1" applyBorder="1"/>
    <xf numFmtId="0" fontId="44" fillId="0" borderId="0" xfId="0" applyFont="1" applyAlignment="1">
      <alignment vertical="center" wrapText="1"/>
    </xf>
    <xf numFmtId="0" fontId="43" fillId="0" borderId="5" xfId="0" applyFont="1" applyBorder="1" applyAlignment="1">
      <alignment horizontal="center" vertical="center" wrapText="1"/>
    </xf>
    <xf numFmtId="4" fontId="39" fillId="0" borderId="5" xfId="0" applyNumberFormat="1" applyFont="1" applyBorder="1" applyAlignment="1">
      <alignment wrapText="1"/>
    </xf>
    <xf numFmtId="4" fontId="39" fillId="0" borderId="5" xfId="0" applyNumberFormat="1" applyFont="1" applyFill="1" applyBorder="1" applyAlignment="1">
      <alignment wrapText="1"/>
    </xf>
    <xf numFmtId="4" fontId="44" fillId="0" borderId="9" xfId="0" applyNumberFormat="1" applyFont="1" applyBorder="1" applyAlignment="1">
      <alignment wrapText="1"/>
    </xf>
    <xf numFmtId="4" fontId="46" fillId="0" borderId="9" xfId="0" applyNumberFormat="1" applyFont="1" applyBorder="1"/>
    <xf numFmtId="4" fontId="44" fillId="2" borderId="9" xfId="0" applyNumberFormat="1" applyFont="1" applyFill="1" applyBorder="1"/>
    <xf numFmtId="4" fontId="45" fillId="4" borderId="8" xfId="3" applyNumberFormat="1" applyFont="1" applyBorder="1" applyAlignment="1" applyProtection="1">
      <alignment horizontal="center" wrapText="1"/>
    </xf>
    <xf numFmtId="4" fontId="34" fillId="0" borderId="26" xfId="0" applyNumberFormat="1" applyFont="1" applyBorder="1" applyAlignment="1">
      <alignment wrapText="1"/>
    </xf>
    <xf numFmtId="0" fontId="43" fillId="0" borderId="7" xfId="0" applyFont="1" applyBorder="1" applyAlignment="1">
      <alignment horizontal="center" vertical="center" wrapText="1"/>
    </xf>
    <xf numFmtId="4" fontId="39" fillId="0" borderId="7" xfId="0" applyNumberFormat="1" applyFont="1" applyBorder="1" applyAlignment="1">
      <alignment wrapText="1"/>
    </xf>
    <xf numFmtId="4" fontId="39" fillId="0" borderId="7" xfId="0" applyNumberFormat="1" applyFont="1" applyFill="1" applyBorder="1" applyAlignment="1">
      <alignment wrapText="1"/>
    </xf>
    <xf numFmtId="0" fontId="43" fillId="3" borderId="22" xfId="0" applyFont="1" applyFill="1" applyBorder="1" applyAlignment="1">
      <alignment horizontal="center" vertical="center" wrapText="1"/>
    </xf>
    <xf numFmtId="0" fontId="44" fillId="0" borderId="22" xfId="0" applyFont="1" applyBorder="1" applyAlignment="1">
      <alignment horizontal="center"/>
    </xf>
    <xf numFmtId="4" fontId="45" fillId="4" borderId="22" xfId="3" applyNumberFormat="1" applyFont="1" applyBorder="1" applyProtection="1"/>
    <xf numFmtId="4" fontId="44" fillId="0" borderId="9" xfId="0" applyNumberFormat="1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/>
    </xf>
    <xf numFmtId="4" fontId="46" fillId="0" borderId="9" xfId="0" applyNumberFormat="1" applyFont="1" applyFill="1" applyBorder="1"/>
    <xf numFmtId="4" fontId="44" fillId="0" borderId="9" xfId="0" applyNumberFormat="1" applyFont="1" applyBorder="1"/>
    <xf numFmtId="4" fontId="44" fillId="0" borderId="12" xfId="0" applyNumberFormat="1" applyFont="1" applyBorder="1"/>
    <xf numFmtId="0" fontId="43" fillId="3" borderId="31" xfId="0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wrapText="1"/>
    </xf>
    <xf numFmtId="0" fontId="34" fillId="0" borderId="32" xfId="0" applyFont="1" applyBorder="1" applyAlignment="1">
      <alignment wrapText="1"/>
    </xf>
    <xf numFmtId="0" fontId="44" fillId="5" borderId="32" xfId="0" applyFont="1" applyFill="1" applyBorder="1" applyAlignment="1">
      <alignment wrapText="1"/>
    </xf>
    <xf numFmtId="0" fontId="44" fillId="0" borderId="32" xfId="0" applyFont="1" applyBorder="1" applyAlignment="1">
      <alignment horizontal="center" vertical="center" wrapText="1"/>
    </xf>
    <xf numFmtId="0" fontId="44" fillId="0" borderId="32" xfId="0" applyFont="1" applyBorder="1" applyAlignment="1">
      <alignment wrapText="1"/>
    </xf>
    <xf numFmtId="0" fontId="34" fillId="0" borderId="32" xfId="0" applyFont="1" applyFill="1" applyBorder="1" applyAlignment="1">
      <alignment wrapText="1"/>
    </xf>
    <xf numFmtId="164" fontId="34" fillId="0" borderId="32" xfId="0" applyNumberFormat="1" applyFont="1" applyBorder="1" applyAlignment="1">
      <alignment wrapText="1"/>
    </xf>
    <xf numFmtId="0" fontId="34" fillId="0" borderId="31" xfId="0" applyFont="1" applyBorder="1" applyAlignment="1">
      <alignment wrapText="1"/>
    </xf>
    <xf numFmtId="0" fontId="44" fillId="0" borderId="9" xfId="0" applyFont="1" applyBorder="1"/>
    <xf numFmtId="9" fontId="48" fillId="0" borderId="12" xfId="13" applyFont="1" applyBorder="1" applyAlignment="1">
      <alignment horizontal="center" vertical="center"/>
    </xf>
    <xf numFmtId="9" fontId="47" fillId="3" borderId="12" xfId="13" applyFont="1" applyFill="1" applyBorder="1" applyAlignment="1">
      <alignment horizontal="center" vertical="center"/>
    </xf>
    <xf numFmtId="168" fontId="37" fillId="0" borderId="0" xfId="12" applyNumberFormat="1" applyFont="1" applyFill="1"/>
    <xf numFmtId="0" fontId="10" fillId="0" borderId="0" xfId="2" applyFont="1" applyAlignment="1">
      <alignment horizontal="center" vertical="center"/>
    </xf>
    <xf numFmtId="0" fontId="13" fillId="0" borderId="0" xfId="2" applyFont="1" applyAlignment="1">
      <alignment horizontal="left" vertical="center" wrapText="1"/>
    </xf>
    <xf numFmtId="17" fontId="36" fillId="0" borderId="34" xfId="12" applyNumberFormat="1" applyFont="1" applyBorder="1" applyAlignment="1"/>
    <xf numFmtId="168" fontId="37" fillId="0" borderId="34" xfId="12" applyNumberFormat="1" applyFont="1" applyBorder="1"/>
    <xf numFmtId="17" fontId="36" fillId="0" borderId="34" xfId="0" applyNumberFormat="1" applyFont="1" applyBorder="1" applyAlignment="1"/>
    <xf numFmtId="168" fontId="37" fillId="0" borderId="34" xfId="0" applyNumberFormat="1" applyFont="1" applyBorder="1"/>
    <xf numFmtId="17" fontId="36" fillId="0" borderId="35" xfId="12" applyNumberFormat="1" applyFont="1" applyBorder="1" applyAlignment="1"/>
    <xf numFmtId="168" fontId="37" fillId="0" borderId="35" xfId="12" applyNumberFormat="1" applyFont="1" applyBorder="1"/>
    <xf numFmtId="168" fontId="37" fillId="0" borderId="33" xfId="12" applyNumberFormat="1" applyFont="1" applyBorder="1"/>
    <xf numFmtId="17" fontId="36" fillId="0" borderId="35" xfId="0" applyNumberFormat="1" applyFont="1" applyBorder="1" applyAlignment="1"/>
    <xf numFmtId="168" fontId="37" fillId="0" borderId="35" xfId="0" applyNumberFormat="1" applyFont="1" applyBorder="1"/>
    <xf numFmtId="17" fontId="36" fillId="0" borderId="34" xfId="12" applyNumberFormat="1" applyFont="1" applyFill="1" applyBorder="1" applyAlignment="1"/>
    <xf numFmtId="168" fontId="37" fillId="0" borderId="34" xfId="12" applyNumberFormat="1" applyFont="1" applyFill="1" applyBorder="1"/>
    <xf numFmtId="17" fontId="36" fillId="0" borderId="34" xfId="0" applyNumberFormat="1" applyFont="1" applyFill="1" applyBorder="1" applyAlignment="1"/>
    <xf numFmtId="168" fontId="37" fillId="0" borderId="34" xfId="0" applyNumberFormat="1" applyFont="1" applyFill="1" applyBorder="1"/>
    <xf numFmtId="168" fontId="37" fillId="0" borderId="36" xfId="12" applyNumberFormat="1" applyFont="1" applyBorder="1"/>
    <xf numFmtId="17" fontId="36" fillId="0" borderId="36" xfId="12" applyNumberFormat="1" applyFont="1" applyBorder="1" applyAlignment="1"/>
    <xf numFmtId="168" fontId="37" fillId="0" borderId="36" xfId="0" applyNumberFormat="1" applyFont="1" applyBorder="1"/>
    <xf numFmtId="17" fontId="36" fillId="0" borderId="37" xfId="12" applyNumberFormat="1" applyFont="1" applyBorder="1" applyAlignment="1"/>
    <xf numFmtId="168" fontId="36" fillId="0" borderId="30" xfId="12" applyNumberFormat="1" applyFont="1" applyBorder="1"/>
    <xf numFmtId="168" fontId="36" fillId="0" borderId="34" xfId="12" applyNumberFormat="1" applyFont="1" applyFill="1" applyBorder="1"/>
    <xf numFmtId="168" fontId="36" fillId="0" borderId="35" xfId="12" applyNumberFormat="1" applyFont="1" applyBorder="1"/>
    <xf numFmtId="168" fontId="36" fillId="0" borderId="34" xfId="12" applyNumberFormat="1" applyFont="1" applyBorder="1"/>
    <xf numFmtId="168" fontId="36" fillId="0" borderId="36" xfId="12" applyNumberFormat="1" applyFont="1" applyBorder="1"/>
    <xf numFmtId="168" fontId="37" fillId="16" borderId="0" xfId="12" applyNumberFormat="1" applyFont="1" applyFill="1"/>
    <xf numFmtId="4" fontId="50" fillId="0" borderId="0" xfId="0" applyNumberFormat="1" applyFont="1" applyAlignment="1">
      <alignment horizontal="center" wrapText="1"/>
    </xf>
    <xf numFmtId="0" fontId="50" fillId="0" borderId="0" xfId="0" applyFont="1" applyAlignment="1">
      <alignment horizontal="center" wrapText="1"/>
    </xf>
    <xf numFmtId="43" fontId="51" fillId="0" borderId="0" xfId="14" applyFont="1"/>
    <xf numFmtId="43" fontId="52" fillId="0" borderId="0" xfId="14" applyFont="1" applyAlignment="1">
      <alignment horizontal="center" wrapText="1"/>
    </xf>
    <xf numFmtId="9" fontId="15" fillId="6" borderId="0" xfId="4" applyNumberFormat="1" applyFont="1" applyFill="1" applyBorder="1" applyAlignment="1" applyProtection="1">
      <alignment horizontal="center" vertical="center" wrapText="1"/>
    </xf>
    <xf numFmtId="0" fontId="53" fillId="2" borderId="0" xfId="2" applyFont="1" applyFill="1"/>
    <xf numFmtId="0" fontId="53" fillId="2" borderId="0" xfId="2" applyFont="1" applyFill="1" applyAlignment="1">
      <alignment horizontal="center"/>
    </xf>
    <xf numFmtId="0" fontId="54" fillId="0" borderId="0" xfId="4" applyNumberFormat="1" applyFont="1" applyBorder="1" applyAlignment="1" applyProtection="1">
      <alignment horizontal="center" vertical="center" wrapText="1"/>
    </xf>
    <xf numFmtId="169" fontId="54" fillId="0" borderId="0" xfId="4" applyNumberFormat="1" applyFont="1" applyBorder="1" applyAlignment="1" applyProtection="1">
      <alignment vertical="center" wrapText="1"/>
    </xf>
    <xf numFmtId="164" fontId="54" fillId="0" borderId="0" xfId="4" applyFont="1" applyBorder="1" applyProtection="1"/>
    <xf numFmtId="164" fontId="54" fillId="0" borderId="0" xfId="4" applyFont="1" applyBorder="1" applyAlignment="1" applyProtection="1">
      <alignment vertical="center" wrapText="1"/>
    </xf>
    <xf numFmtId="4" fontId="55" fillId="0" borderId="0" xfId="2" applyNumberFormat="1" applyFont="1"/>
    <xf numFmtId="4" fontId="56" fillId="0" borderId="0" xfId="2" applyNumberFormat="1" applyFont="1"/>
    <xf numFmtId="168" fontId="37" fillId="17" borderId="30" xfId="12" applyNumberFormat="1" applyFont="1" applyFill="1" applyBorder="1"/>
    <xf numFmtId="168" fontId="37" fillId="17" borderId="30" xfId="0" applyNumberFormat="1" applyFont="1" applyFill="1" applyBorder="1"/>
    <xf numFmtId="168" fontId="36" fillId="17" borderId="30" xfId="12" applyNumberFormat="1" applyFont="1" applyFill="1" applyBorder="1"/>
    <xf numFmtId="168" fontId="37" fillId="18" borderId="30" xfId="12" applyNumberFormat="1" applyFont="1" applyFill="1" applyBorder="1"/>
    <xf numFmtId="168" fontId="37" fillId="0" borderId="30" xfId="12" applyNumberFormat="1" applyFont="1" applyFill="1" applyBorder="1"/>
    <xf numFmtId="0" fontId="10" fillId="0" borderId="0" xfId="2" applyFont="1" applyAlignment="1">
      <alignment horizontal="center" vertical="center"/>
    </xf>
    <xf numFmtId="0" fontId="19" fillId="0" borderId="0" xfId="2" applyFont="1" applyAlignment="1">
      <alignment horizontal="left"/>
    </xf>
    <xf numFmtId="0" fontId="13" fillId="0" borderId="0" xfId="2" applyFont="1" applyAlignment="1">
      <alignment horizontal="left" vertical="center" wrapText="1"/>
    </xf>
    <xf numFmtId="0" fontId="16" fillId="2" borderId="0" xfId="2" applyFont="1" applyFill="1" applyAlignment="1">
      <alignment horizontal="center"/>
    </xf>
    <xf numFmtId="0" fontId="17" fillId="2" borderId="0" xfId="2" applyFont="1" applyFill="1" applyAlignment="1">
      <alignment horizontal="center"/>
    </xf>
    <xf numFmtId="0" fontId="17" fillId="2" borderId="19" xfId="2" applyFont="1" applyFill="1" applyBorder="1" applyAlignment="1">
      <alignment horizontal="center"/>
    </xf>
    <xf numFmtId="0" fontId="44" fillId="0" borderId="5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43" fillId="3" borderId="22" xfId="0" applyFont="1" applyFill="1" applyBorder="1" applyAlignment="1">
      <alignment horizontal="center" vertical="center" wrapText="1"/>
    </xf>
    <xf numFmtId="0" fontId="43" fillId="3" borderId="2" xfId="0" applyFont="1" applyFill="1" applyBorder="1" applyAlignment="1">
      <alignment horizontal="center" vertical="center" wrapText="1"/>
    </xf>
    <xf numFmtId="4" fontId="44" fillId="0" borderId="5" xfId="0" applyNumberFormat="1" applyFont="1" applyBorder="1" applyAlignment="1">
      <alignment horizontal="center" vertical="center"/>
    </xf>
    <xf numFmtId="4" fontId="44" fillId="0" borderId="26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7" fillId="0" borderId="38" xfId="12" applyFont="1" applyBorder="1" applyAlignment="1">
      <alignment horizontal="center" vertical="center" textRotation="255"/>
    </xf>
    <xf numFmtId="0" fontId="37" fillId="0" borderId="40" xfId="12" applyFont="1" applyBorder="1" applyAlignment="1">
      <alignment horizontal="center" vertical="center" textRotation="255"/>
    </xf>
    <xf numFmtId="0" fontId="37" fillId="0" borderId="39" xfId="12" applyFont="1" applyBorder="1" applyAlignment="1">
      <alignment horizontal="center" vertical="center" textRotation="255"/>
    </xf>
    <xf numFmtId="0" fontId="37" fillId="0" borderId="30" xfId="12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 textRotation="255"/>
    </xf>
    <xf numFmtId="0" fontId="37" fillId="0" borderId="30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</cellXfs>
  <cellStyles count="15">
    <cellStyle name="Comma 2 2" xfId="9" xr:uid="{00000000-0005-0000-0000-000000000000}"/>
    <cellStyle name="Excel Built-in Check Cell" xfId="3" xr:uid="{00000000-0005-0000-0000-000001000000}"/>
    <cellStyle name="Normal" xfId="0" builtinId="0"/>
    <cellStyle name="Normal 2" xfId="2" xr:uid="{00000000-0005-0000-0000-000004000000}"/>
    <cellStyle name="Normal 2 2" xfId="11" xr:uid="{00000000-0005-0000-0000-000005000000}"/>
    <cellStyle name="Normal 3" xfId="7" xr:uid="{00000000-0005-0000-0000-000006000000}"/>
    <cellStyle name="Normal 4" xfId="12" xr:uid="{00000000-0005-0000-0000-000007000000}"/>
    <cellStyle name="Normal 7" xfId="6" xr:uid="{00000000-0005-0000-0000-000008000000}"/>
    <cellStyle name="Porcentagem" xfId="13" builtinId="5"/>
    <cellStyle name="Porcentagem 2" xfId="5" xr:uid="{00000000-0005-0000-0000-00000A000000}"/>
    <cellStyle name="Separador de milhares 2" xfId="4" xr:uid="{00000000-0005-0000-0000-00000B000000}"/>
    <cellStyle name="TableStyleLight1" xfId="1" xr:uid="{00000000-0005-0000-0000-00000C000000}"/>
    <cellStyle name="Vírgula" xfId="14" builtinId="3"/>
    <cellStyle name="Vírgula 12" xfId="10" xr:uid="{00000000-0005-0000-0000-00000E000000}"/>
    <cellStyle name="Vírgula 5" xfId="8" xr:uid="{00000000-0005-0000-0000-00000F000000}"/>
  </cellStyles>
  <dxfs count="1"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78787"/>
      <rgbColor rgb="0095B3D7"/>
      <rgbColor rgb="007030A0"/>
      <rgbColor rgb="00FFFFCC"/>
      <rgbColor rgb="00DCE6F2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FFCC99"/>
      <rgbColor rgb="003366FF"/>
      <rgbColor rgb="00729FCF"/>
      <rgbColor rgb="0099CC00"/>
      <rgbColor rgb="00FFC000"/>
      <rgbColor rgb="00FF9900"/>
      <rgbColor rgb="00E46C0A"/>
      <rgbColor rgb="00558ED5"/>
      <rgbColor rgb="00A5A5A5"/>
      <rgbColor rgb="0017375E"/>
      <rgbColor rgb="0031859C"/>
      <rgbColor rgb="00003300"/>
      <rgbColor rgb="00393C21"/>
      <rgbColor rgb="00C9211E"/>
      <rgbColor rgb="00993366"/>
      <rgbColor rgb="003F3F3F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31749</xdr:colOff>
      <xdr:row>0</xdr:row>
      <xdr:rowOff>63501</xdr:rowOff>
    </xdr:from>
    <xdr:to>
      <xdr:col>1</xdr:col>
      <xdr:colOff>751416</xdr:colOff>
      <xdr:row>1</xdr:row>
      <xdr:rowOff>211668</xdr:rowOff>
    </xdr:to>
    <xdr:pic>
      <xdr:nvPicPr>
        <xdr:cNvPr id="2" name="Imagem 1" descr="Descrição: Logo IBGH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224" y="63501"/>
          <a:ext cx="719667" cy="348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0.197\caixa\IBGH\Fluxo%20de%20Caixa\2016\C.servidor\Financeiro\Tesouraria\Fluxo%20de%20caixa\Fluxo%20de%20Caix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ro/Downloads/FLUXO%20CAIXA%20-%202018%20-%20Dezembro%20-%20PIRENOPOLIS.1.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kp\dp\Users\USER\AppData\Local\Microsoft\Windows\Temporary%20Internet%20Files\Content.Outlook\K7H037QK\ABERTURA%20CONTA%20037%20IBGH%20-%20LOTE%20003%20-%20ANO%202014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.10\Dados\CONTROLADORIA\DANIELA\REUNIOES\2015\04-2015\REUNI&#195;O%20ACIONISTAS%2004-2015\Nosso%20Casamento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ro/Downloads/FLUXO%20DE%20CAIXA%20-%20PIRENOPOLIS.1.0%20-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ado Setem. Mensal"/>
      <sheetName val="Forecast Setem. Mensal"/>
      <sheetName val="Realizado Setem. Semanal"/>
      <sheetName val="Forecast Setem. Semanal"/>
      <sheetName val="Cash Flow Semana 3 - RefriRede"/>
      <sheetName val="Forecast Semana 3 - RefriRede"/>
      <sheetName val="Cash Flow Semana 4 - RefriRede"/>
      <sheetName val="Forecast Semana 4 - RefriRede"/>
      <sheetName val="Cash Flow Semana 5 - RefriRede"/>
      <sheetName val="Forecast Semana 5 - RefriRede"/>
      <sheetName val="Cash Flow TCR.Setem"/>
      <sheetName val="Forecast TCR.Setem"/>
      <sheetName val="Cash Flow TCRA.Setem"/>
      <sheetName val="Forecast TCRA.Setem"/>
      <sheetName val="Cash Flow TTP.Setem"/>
      <sheetName val="Forecast TTP.Setem"/>
      <sheetName val="Cash Flow TTC.Setem"/>
      <sheetName val="Forecast TTC.Setem"/>
      <sheetName val="Cash Flow FONTE.Setem"/>
      <sheetName val="Forecast FONTE.Setem"/>
      <sheetName val="BASE CR 08.09"/>
      <sheetName val="TAB.D 1009"/>
      <sheetName val="Plan4"/>
      <sheetName val="Tab. Dinâmica Forecast"/>
      <sheetName val="Base CR"/>
      <sheetName val="Tab. Dinâmica CP Forecast"/>
      <sheetName val="Base Cp"/>
      <sheetName val="Fluxo de Caixa"/>
      <sheetName val="SIGLAS"/>
      <sheetName val="DRE ARN HMA UPA"/>
      <sheetName val="LIS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 PIRENOPOLIS"/>
      <sheetName val="BD FORECAST"/>
      <sheetName val="BD REALIZADO"/>
      <sheetName val="LISTA"/>
      <sheetName val="SALDO BD"/>
      <sheetName val="Base Total Consolidado"/>
    </sheetNames>
    <sheetDataSet>
      <sheetData sheetId="0"/>
      <sheetData sheetId="1"/>
      <sheetData sheetId="2"/>
      <sheetData sheetId="3">
        <row r="2">
          <cell r="C2" t="str">
            <v>SALDO INICIAL</v>
          </cell>
        </row>
        <row r="3">
          <cell r="C3" t="str">
            <v>( + ) Receita Contrato de Gestão</v>
          </cell>
        </row>
        <row r="4">
          <cell r="C4" t="str">
            <v>( - ) Glosa</v>
          </cell>
        </row>
        <row r="5">
          <cell r="C5" t="str">
            <v>Transferencias entre conta</v>
          </cell>
        </row>
        <row r="6">
          <cell r="C6" t="str">
            <v>Aplicaçao</v>
          </cell>
        </row>
        <row r="7">
          <cell r="C7" t="str">
            <v>Resgate Automatico</v>
          </cell>
        </row>
        <row r="8">
          <cell r="C8" t="str">
            <v>( - ) Despesas Adm da executora</v>
          </cell>
        </row>
        <row r="9">
          <cell r="C9" t="str">
            <v>( +/- ) Rec. / Desp. Financeira</v>
          </cell>
        </row>
        <row r="10">
          <cell r="C10" t="str">
            <v>( + ) Outras Receitas</v>
          </cell>
        </row>
        <row r="11">
          <cell r="C11" t="str">
            <v>Folha de Pagamento</v>
          </cell>
        </row>
        <row r="12">
          <cell r="C12" t="str">
            <v>FGTS</v>
          </cell>
        </row>
        <row r="13">
          <cell r="C13" t="str">
            <v>INSS</v>
          </cell>
        </row>
        <row r="14">
          <cell r="C14" t="str">
            <v>Encargos FEDERAIS</v>
          </cell>
        </row>
        <row r="15">
          <cell r="C15" t="str">
            <v xml:space="preserve">Extras </v>
          </cell>
        </row>
        <row r="16">
          <cell r="C16" t="str">
            <v>Férias</v>
          </cell>
        </row>
        <row r="17">
          <cell r="C17" t="str">
            <v>13º Salario</v>
          </cell>
        </row>
        <row r="18">
          <cell r="C18" t="str">
            <v>Rescisões/GRRF</v>
          </cell>
        </row>
        <row r="19">
          <cell r="C19" t="str">
            <v>Serviços medicos PJ</v>
          </cell>
        </row>
        <row r="20">
          <cell r="C20" t="str">
            <v>Serviços não medicos PJ</v>
          </cell>
        </row>
        <row r="21">
          <cell r="C21" t="str">
            <v>Sindicatos</v>
          </cell>
        </row>
        <row r="22">
          <cell r="C22" t="str">
            <v>Outras despesas com Pessoal</v>
          </cell>
        </row>
        <row r="23">
          <cell r="C23" t="str">
            <v>Provisões Trabalhista</v>
          </cell>
        </row>
        <row r="24">
          <cell r="C24" t="str">
            <v>Medicamentos</v>
          </cell>
        </row>
        <row r="25">
          <cell r="C25" t="str">
            <v>Correlatos</v>
          </cell>
        </row>
        <row r="26">
          <cell r="C26" t="str">
            <v>Materiais de laboratórios</v>
          </cell>
        </row>
        <row r="27">
          <cell r="C27" t="str">
            <v>Filmes, Químicos e Contrastes Radiológicos</v>
          </cell>
        </row>
        <row r="28">
          <cell r="C28" t="str">
            <v>Dieta Enteral e Paraenteral</v>
          </cell>
        </row>
        <row r="29">
          <cell r="C29" t="str">
            <v>Gases Medicinais</v>
          </cell>
        </row>
        <row r="30">
          <cell r="C30" t="str">
            <v>Outros materiais medicos hospitalares</v>
          </cell>
        </row>
        <row r="31">
          <cell r="C31" t="str">
            <v>Material de Escritorio</v>
          </cell>
        </row>
        <row r="32">
          <cell r="C32" t="str">
            <v>Material de Limpeza</v>
          </cell>
        </row>
        <row r="33">
          <cell r="C33" t="str">
            <v>Materiais  Descartaveis</v>
          </cell>
        </row>
        <row r="34">
          <cell r="C34" t="str">
            <v>Uniformes, enxovais (Tecidos e Confecções)</v>
          </cell>
        </row>
        <row r="35">
          <cell r="C35" t="str">
            <v>Material de EPI</v>
          </cell>
        </row>
        <row r="36">
          <cell r="C36" t="str">
            <v>Material Grafico</v>
          </cell>
        </row>
        <row r="37">
          <cell r="C37" t="str">
            <v>Combustivel e lubrificantes</v>
          </cell>
        </row>
        <row r="38">
          <cell r="C38" t="str">
            <v>Genero Alimenticios</v>
          </cell>
        </row>
        <row r="39">
          <cell r="C39" t="str">
            <v>Outros materiais e insumos</v>
          </cell>
        </row>
        <row r="40">
          <cell r="C40" t="str">
            <v>Exames de Ultrassonografia</v>
          </cell>
        </row>
        <row r="41">
          <cell r="C41" t="str">
            <v>Exames de Ecocardiograma</v>
          </cell>
        </row>
        <row r="42">
          <cell r="C42" t="str">
            <v>Exames de Eletrocardiograma</v>
          </cell>
        </row>
        <row r="43">
          <cell r="C43" t="str">
            <v>Exames de Endoscopia - EDA</v>
          </cell>
        </row>
        <row r="44">
          <cell r="C44" t="str">
            <v>Exames Raio X</v>
          </cell>
        </row>
        <row r="45">
          <cell r="C45" t="str">
            <v>Exames Laboratoriais</v>
          </cell>
        </row>
        <row r="46">
          <cell r="C46" t="str">
            <v>Engenharia Clinica/Manutenções</v>
          </cell>
        </row>
        <row r="47">
          <cell r="C47" t="str">
            <v>Serviços de Laudo Médico em exames</v>
          </cell>
        </row>
        <row r="48">
          <cell r="C48" t="str">
            <v>Serviços de coleta/residuos Hospitalares</v>
          </cell>
        </row>
        <row r="49">
          <cell r="C49" t="str">
            <v>Serviços Médico do Trabalho</v>
          </cell>
        </row>
        <row r="50">
          <cell r="C50" t="str">
            <v>Locação Cilindros Gases Medicinais</v>
          </cell>
        </row>
        <row r="51">
          <cell r="C51" t="str">
            <v>Locação de Equipamentos Hospitalares</v>
          </cell>
        </row>
        <row r="52">
          <cell r="C52" t="str">
            <v>Aluguel e Condominio</v>
          </cell>
        </row>
        <row r="53">
          <cell r="C53" t="str">
            <v>Agua e Saneamento</v>
          </cell>
        </row>
        <row r="54">
          <cell r="C54" t="str">
            <v>Energia e Gerador</v>
          </cell>
        </row>
        <row r="55">
          <cell r="C55" t="str">
            <v>Telefone e Internet Fixo</v>
          </cell>
        </row>
        <row r="56">
          <cell r="C56" t="str">
            <v>Telefone e internet Movel</v>
          </cell>
        </row>
        <row r="57">
          <cell r="C57" t="str">
            <v>Agencia de Turismo/viagens e estadias</v>
          </cell>
        </row>
        <row r="58">
          <cell r="C58" t="str">
            <v>Assessoria Juridica</v>
          </cell>
        </row>
        <row r="59">
          <cell r="C59" t="str">
            <v>Contabilidade e Auditoria</v>
          </cell>
        </row>
        <row r="60">
          <cell r="C60" t="str">
            <v>Comunicação e Marketing</v>
          </cell>
        </row>
        <row r="61">
          <cell r="C61" t="str">
            <v>Serviços de Refeições</v>
          </cell>
        </row>
        <row r="62">
          <cell r="C62" t="str">
            <v>Serviços de Lavanderia</v>
          </cell>
        </row>
        <row r="63">
          <cell r="C63" t="str">
            <v>Serviços TI</v>
          </cell>
        </row>
        <row r="64">
          <cell r="C64" t="str">
            <v>Sistema Informatizado e Sofware</v>
          </cell>
        </row>
        <row r="65">
          <cell r="C65" t="str">
            <v>Limpeza e Conservação</v>
          </cell>
        </row>
        <row r="66">
          <cell r="C66" t="str">
            <v>Segurança e Monitoramento</v>
          </cell>
        </row>
        <row r="67">
          <cell r="C67" t="str">
            <v>Serviço de Detetizaçao</v>
          </cell>
        </row>
        <row r="68">
          <cell r="C68" t="str">
            <v>Manutenção de Equipamentos</v>
          </cell>
        </row>
        <row r="69">
          <cell r="C69" t="str">
            <v>Manutenção de Veiculos</v>
          </cell>
        </row>
        <row r="70">
          <cell r="C70" t="str">
            <v>Manutenção Predial</v>
          </cell>
        </row>
        <row r="71">
          <cell r="C71" t="str">
            <v>Locação de Veiculos</v>
          </cell>
        </row>
        <row r="72">
          <cell r="C72" t="str">
            <v>Locação de Equipamentos Diversos</v>
          </cell>
        </row>
        <row r="73">
          <cell r="C73" t="str">
            <v>Locação de Informatica</v>
          </cell>
        </row>
        <row r="74">
          <cell r="C74" t="str">
            <v>Outras despesas com Serviço</v>
          </cell>
        </row>
        <row r="75">
          <cell r="C75" t="str">
            <v>Taxas Custas e Certificações</v>
          </cell>
        </row>
        <row r="76">
          <cell r="C76" t="str">
            <v>Despesas Bancárias</v>
          </cell>
        </row>
        <row r="77">
          <cell r="C77" t="str">
            <v>Juros e Multa</v>
          </cell>
        </row>
        <row r="78">
          <cell r="C78" t="str">
            <v>Depositos Recursais/custas Judiciais</v>
          </cell>
        </row>
        <row r="79">
          <cell r="C79" t="str">
            <v>Caixa Administrativo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a Arquivo"/>
      <sheetName val="Digita"/>
      <sheetName val="Digita023"/>
    </sheetNames>
    <sheetDataSet>
      <sheetData sheetId="0">
        <row r="2">
          <cell r="N2">
            <v>101</v>
          </cell>
        </row>
        <row r="3">
          <cell r="N3">
            <v>102</v>
          </cell>
        </row>
        <row r="4">
          <cell r="N4">
            <v>103</v>
          </cell>
        </row>
        <row r="5">
          <cell r="N5">
            <v>104</v>
          </cell>
        </row>
        <row r="6">
          <cell r="N6">
            <v>105</v>
          </cell>
        </row>
        <row r="7">
          <cell r="N7">
            <v>106</v>
          </cell>
        </row>
        <row r="8">
          <cell r="N8">
            <v>107</v>
          </cell>
        </row>
        <row r="9">
          <cell r="N9">
            <v>108</v>
          </cell>
        </row>
        <row r="10">
          <cell r="N10">
            <v>109</v>
          </cell>
        </row>
        <row r="11">
          <cell r="N11">
            <v>111</v>
          </cell>
        </row>
        <row r="12">
          <cell r="N12">
            <v>112</v>
          </cell>
        </row>
        <row r="13">
          <cell r="N13">
            <v>113</v>
          </cell>
        </row>
        <row r="14">
          <cell r="N14">
            <v>114</v>
          </cell>
        </row>
        <row r="16">
          <cell r="N16">
            <v>115</v>
          </cell>
        </row>
        <row r="17">
          <cell r="N17">
            <v>116</v>
          </cell>
        </row>
        <row r="18">
          <cell r="N18">
            <v>117</v>
          </cell>
        </row>
        <row r="19">
          <cell r="N19">
            <v>118</v>
          </cell>
        </row>
        <row r="20">
          <cell r="N20">
            <v>119</v>
          </cell>
        </row>
        <row r="21">
          <cell r="N21">
            <v>121</v>
          </cell>
        </row>
        <row r="22">
          <cell r="N22">
            <v>122</v>
          </cell>
        </row>
        <row r="23">
          <cell r="N23">
            <v>123</v>
          </cell>
        </row>
        <row r="24">
          <cell r="N24">
            <v>124</v>
          </cell>
        </row>
        <row r="25">
          <cell r="N25">
            <v>125</v>
          </cell>
        </row>
        <row r="26">
          <cell r="N26">
            <v>126</v>
          </cell>
        </row>
        <row r="27">
          <cell r="N27">
            <v>127</v>
          </cell>
        </row>
        <row r="28">
          <cell r="N28">
            <v>128</v>
          </cell>
        </row>
        <row r="29">
          <cell r="N29">
            <v>129</v>
          </cell>
        </row>
        <row r="30">
          <cell r="N30">
            <v>131</v>
          </cell>
        </row>
        <row r="31">
          <cell r="N31">
            <v>132</v>
          </cell>
        </row>
        <row r="32">
          <cell r="N32">
            <v>133</v>
          </cell>
        </row>
        <row r="33">
          <cell r="N33">
            <v>134</v>
          </cell>
        </row>
        <row r="34">
          <cell r="N34">
            <v>135</v>
          </cell>
        </row>
        <row r="35">
          <cell r="N35">
            <v>136</v>
          </cell>
        </row>
        <row r="36">
          <cell r="N36">
            <v>137</v>
          </cell>
        </row>
        <row r="37">
          <cell r="N37">
            <v>138</v>
          </cell>
        </row>
        <row r="38">
          <cell r="N38">
            <v>139</v>
          </cell>
        </row>
        <row r="39">
          <cell r="N39">
            <v>142</v>
          </cell>
        </row>
        <row r="40">
          <cell r="N40">
            <v>143</v>
          </cell>
        </row>
        <row r="41">
          <cell r="N41">
            <v>144</v>
          </cell>
        </row>
        <row r="42">
          <cell r="N42">
            <v>145</v>
          </cell>
        </row>
        <row r="43">
          <cell r="N43">
            <v>151</v>
          </cell>
        </row>
        <row r="44">
          <cell r="N44">
            <v>152</v>
          </cell>
        </row>
        <row r="45">
          <cell r="N45">
            <v>153</v>
          </cell>
        </row>
        <row r="46">
          <cell r="N46">
            <v>154</v>
          </cell>
        </row>
        <row r="47">
          <cell r="N47">
            <v>155</v>
          </cell>
        </row>
        <row r="48">
          <cell r="N48">
            <v>156</v>
          </cell>
        </row>
        <row r="49">
          <cell r="N49">
            <v>157</v>
          </cell>
        </row>
        <row r="50">
          <cell r="N50">
            <v>158</v>
          </cell>
        </row>
        <row r="51">
          <cell r="N51">
            <v>159</v>
          </cell>
        </row>
        <row r="52">
          <cell r="N52">
            <v>161</v>
          </cell>
        </row>
        <row r="53">
          <cell r="N53">
            <v>162</v>
          </cell>
        </row>
        <row r="54">
          <cell r="N54">
            <v>163</v>
          </cell>
        </row>
        <row r="55">
          <cell r="N55">
            <v>164</v>
          </cell>
        </row>
        <row r="56">
          <cell r="N56">
            <v>165</v>
          </cell>
        </row>
        <row r="57">
          <cell r="N57">
            <v>166</v>
          </cell>
        </row>
        <row r="58">
          <cell r="N58">
            <v>167</v>
          </cell>
        </row>
        <row r="59">
          <cell r="N59">
            <v>168</v>
          </cell>
        </row>
        <row r="60">
          <cell r="N60">
            <v>169</v>
          </cell>
        </row>
        <row r="61">
          <cell r="N61">
            <v>171</v>
          </cell>
        </row>
        <row r="62">
          <cell r="N62">
            <v>172</v>
          </cell>
        </row>
        <row r="63">
          <cell r="N63">
            <v>179</v>
          </cell>
        </row>
        <row r="64">
          <cell r="N64">
            <v>181</v>
          </cell>
        </row>
        <row r="65">
          <cell r="N65">
            <v>182</v>
          </cell>
        </row>
        <row r="66">
          <cell r="N66">
            <v>183</v>
          </cell>
        </row>
        <row r="67">
          <cell r="N67">
            <v>189</v>
          </cell>
        </row>
        <row r="68">
          <cell r="N68">
            <v>191</v>
          </cell>
        </row>
        <row r="69">
          <cell r="N69">
            <v>192</v>
          </cell>
        </row>
        <row r="70">
          <cell r="N70">
            <v>193</v>
          </cell>
        </row>
        <row r="71">
          <cell r="N71">
            <v>199</v>
          </cell>
        </row>
        <row r="72">
          <cell r="N72">
            <v>201</v>
          </cell>
        </row>
        <row r="73">
          <cell r="N73">
            <v>203</v>
          </cell>
        </row>
        <row r="74">
          <cell r="N74">
            <v>205</v>
          </cell>
        </row>
        <row r="75">
          <cell r="N75">
            <v>209</v>
          </cell>
        </row>
        <row r="76">
          <cell r="N76">
            <v>211</v>
          </cell>
        </row>
        <row r="77">
          <cell r="N77">
            <v>212</v>
          </cell>
        </row>
        <row r="78">
          <cell r="N78">
            <v>213</v>
          </cell>
        </row>
        <row r="79">
          <cell r="N79">
            <v>214</v>
          </cell>
        </row>
        <row r="80">
          <cell r="N80">
            <v>215</v>
          </cell>
        </row>
        <row r="81">
          <cell r="N81">
            <v>216</v>
          </cell>
        </row>
        <row r="82">
          <cell r="N82">
            <v>219</v>
          </cell>
        </row>
        <row r="83">
          <cell r="N83">
            <v>291</v>
          </cell>
        </row>
        <row r="84">
          <cell r="N84">
            <v>292</v>
          </cell>
        </row>
        <row r="85">
          <cell r="N85">
            <v>293</v>
          </cell>
        </row>
        <row r="86">
          <cell r="N86">
            <v>294</v>
          </cell>
        </row>
        <row r="87">
          <cell r="N87">
            <v>295</v>
          </cell>
        </row>
        <row r="88">
          <cell r="N88">
            <v>296</v>
          </cell>
        </row>
        <row r="89">
          <cell r="N89">
            <v>297</v>
          </cell>
        </row>
        <row r="90">
          <cell r="N90">
            <v>298</v>
          </cell>
        </row>
        <row r="91">
          <cell r="N91">
            <v>299</v>
          </cell>
        </row>
        <row r="92">
          <cell r="N92">
            <v>301</v>
          </cell>
        </row>
        <row r="93">
          <cell r="N93">
            <v>303</v>
          </cell>
        </row>
        <row r="94">
          <cell r="N94">
            <v>309</v>
          </cell>
        </row>
        <row r="95">
          <cell r="N95">
            <v>391</v>
          </cell>
        </row>
        <row r="96">
          <cell r="N96">
            <v>392</v>
          </cell>
        </row>
        <row r="97">
          <cell r="N97">
            <v>393</v>
          </cell>
        </row>
        <row r="98">
          <cell r="N98">
            <v>394</v>
          </cell>
        </row>
        <row r="99">
          <cell r="N99">
            <v>395</v>
          </cell>
        </row>
        <row r="100">
          <cell r="N100">
            <v>396</v>
          </cell>
        </row>
        <row r="101">
          <cell r="N101">
            <v>399</v>
          </cell>
        </row>
        <row r="102">
          <cell r="N102">
            <v>401</v>
          </cell>
        </row>
        <row r="103">
          <cell r="N103">
            <v>402</v>
          </cell>
        </row>
        <row r="104">
          <cell r="N104">
            <v>403</v>
          </cell>
        </row>
        <row r="105">
          <cell r="N105">
            <v>404</v>
          </cell>
        </row>
        <row r="106">
          <cell r="N106">
            <v>405</v>
          </cell>
        </row>
        <row r="107">
          <cell r="N107">
            <v>409</v>
          </cell>
        </row>
        <row r="108">
          <cell r="N108">
            <v>411</v>
          </cell>
        </row>
        <row r="109">
          <cell r="N109">
            <v>412</v>
          </cell>
        </row>
        <row r="110">
          <cell r="N110">
            <v>413</v>
          </cell>
        </row>
        <row r="111">
          <cell r="N111">
            <v>419</v>
          </cell>
        </row>
        <row r="112">
          <cell r="N112">
            <v>491</v>
          </cell>
        </row>
        <row r="113">
          <cell r="N113">
            <v>492</v>
          </cell>
        </row>
        <row r="114">
          <cell r="N114">
            <v>499</v>
          </cell>
        </row>
        <row r="115">
          <cell r="N115">
            <v>501</v>
          </cell>
        </row>
        <row r="116">
          <cell r="N116">
            <v>509</v>
          </cell>
        </row>
        <row r="117">
          <cell r="N117">
            <v>511</v>
          </cell>
        </row>
        <row r="118">
          <cell r="N118">
            <v>519</v>
          </cell>
        </row>
        <row r="119">
          <cell r="N119">
            <v>521</v>
          </cell>
        </row>
        <row r="120">
          <cell r="N120">
            <v>529</v>
          </cell>
        </row>
        <row r="121">
          <cell r="N121">
            <v>531</v>
          </cell>
        </row>
        <row r="122">
          <cell r="N122">
            <v>532</v>
          </cell>
        </row>
        <row r="123">
          <cell r="N123">
            <v>533</v>
          </cell>
        </row>
        <row r="124">
          <cell r="N124">
            <v>534</v>
          </cell>
        </row>
        <row r="125">
          <cell r="N125">
            <v>535</v>
          </cell>
        </row>
        <row r="126">
          <cell r="N126">
            <v>539</v>
          </cell>
        </row>
        <row r="127">
          <cell r="N127">
            <v>541</v>
          </cell>
        </row>
        <row r="128">
          <cell r="N128">
            <v>542</v>
          </cell>
        </row>
        <row r="129">
          <cell r="N129">
            <v>543</v>
          </cell>
        </row>
        <row r="130">
          <cell r="N130">
            <v>544</v>
          </cell>
        </row>
        <row r="131">
          <cell r="N131">
            <v>549</v>
          </cell>
        </row>
        <row r="132">
          <cell r="N132">
            <v>591</v>
          </cell>
        </row>
        <row r="133">
          <cell r="N133">
            <v>592</v>
          </cell>
        </row>
        <row r="134">
          <cell r="N134">
            <v>593</v>
          </cell>
        </row>
        <row r="135">
          <cell r="N135">
            <v>594</v>
          </cell>
        </row>
        <row r="136">
          <cell r="N136">
            <v>595</v>
          </cell>
        </row>
        <row r="137">
          <cell r="N137">
            <v>596</v>
          </cell>
        </row>
        <row r="138">
          <cell r="N138">
            <v>597</v>
          </cell>
        </row>
        <row r="139">
          <cell r="N139">
            <v>598</v>
          </cell>
        </row>
        <row r="140">
          <cell r="N140">
            <v>599</v>
          </cell>
        </row>
        <row r="141">
          <cell r="N141">
            <v>601</v>
          </cell>
        </row>
        <row r="142">
          <cell r="N142">
            <v>602</v>
          </cell>
        </row>
        <row r="143">
          <cell r="N143">
            <v>603</v>
          </cell>
        </row>
        <row r="144">
          <cell r="N144">
            <v>604</v>
          </cell>
        </row>
        <row r="145">
          <cell r="N145">
            <v>605</v>
          </cell>
        </row>
        <row r="146">
          <cell r="N146">
            <v>609</v>
          </cell>
        </row>
        <row r="147">
          <cell r="N147">
            <v>701</v>
          </cell>
        </row>
        <row r="148">
          <cell r="N148">
            <v>702</v>
          </cell>
        </row>
        <row r="149">
          <cell r="N149">
            <v>703</v>
          </cell>
        </row>
        <row r="150">
          <cell r="N150">
            <v>704</v>
          </cell>
        </row>
        <row r="151">
          <cell r="N151">
            <v>705</v>
          </cell>
        </row>
        <row r="152">
          <cell r="N152">
            <v>706</v>
          </cell>
        </row>
        <row r="153">
          <cell r="N153">
            <v>707</v>
          </cell>
        </row>
        <row r="154">
          <cell r="N154">
            <v>708</v>
          </cell>
        </row>
        <row r="155">
          <cell r="N155">
            <v>709</v>
          </cell>
        </row>
        <row r="156">
          <cell r="N156">
            <v>710</v>
          </cell>
        </row>
        <row r="157">
          <cell r="N157">
            <v>711</v>
          </cell>
        </row>
        <row r="158">
          <cell r="N158">
            <v>712</v>
          </cell>
        </row>
        <row r="159">
          <cell r="N159">
            <v>713</v>
          </cell>
        </row>
        <row r="160">
          <cell r="N160">
            <v>714</v>
          </cell>
        </row>
        <row r="161">
          <cell r="N161">
            <v>715</v>
          </cell>
        </row>
        <row r="162">
          <cell r="N162">
            <v>716</v>
          </cell>
        </row>
        <row r="163">
          <cell r="N163">
            <v>717</v>
          </cell>
        </row>
        <row r="164">
          <cell r="N164">
            <v>719</v>
          </cell>
        </row>
        <row r="165">
          <cell r="N165">
            <v>901</v>
          </cell>
        </row>
        <row r="166">
          <cell r="N166">
            <v>902</v>
          </cell>
        </row>
        <row r="167">
          <cell r="N167">
            <v>903</v>
          </cell>
        </row>
        <row r="168">
          <cell r="N168">
            <v>904</v>
          </cell>
        </row>
        <row r="169">
          <cell r="N169">
            <v>905</v>
          </cell>
        </row>
        <row r="170">
          <cell r="N170">
            <v>906</v>
          </cell>
        </row>
        <row r="171">
          <cell r="N171">
            <v>907</v>
          </cell>
        </row>
        <row r="172">
          <cell r="N172">
            <v>909</v>
          </cell>
        </row>
        <row r="173">
          <cell r="N173">
            <v>910</v>
          </cell>
        </row>
        <row r="174">
          <cell r="N174">
            <v>919</v>
          </cell>
        </row>
        <row r="175">
          <cell r="N175">
            <v>921</v>
          </cell>
        </row>
        <row r="176">
          <cell r="N176">
            <v>922</v>
          </cell>
        </row>
        <row r="177">
          <cell r="N177">
            <v>923</v>
          </cell>
        </row>
        <row r="178">
          <cell r="N178">
            <v>924</v>
          </cell>
        </row>
        <row r="179">
          <cell r="N179">
            <v>929</v>
          </cell>
        </row>
        <row r="180">
          <cell r="N180">
            <v>931</v>
          </cell>
        </row>
        <row r="181">
          <cell r="N181">
            <v>999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Convidados"/>
      <sheetName val="Checklist"/>
      <sheetName val="resumo"/>
    </sheetNames>
    <sheetDataSet>
      <sheetData sheetId="0">
        <row r="9">
          <cell r="B9" t="str">
            <v>Festa</v>
          </cell>
          <cell r="C9" t="str">
            <v>Previsto</v>
          </cell>
          <cell r="D9" t="str">
            <v>%</v>
          </cell>
          <cell r="E9" t="str">
            <v>Realizado</v>
          </cell>
          <cell r="F9" t="str">
            <v>%</v>
          </cell>
        </row>
        <row r="22">
          <cell r="B22" t="str">
            <v>Trajes</v>
          </cell>
          <cell r="C22" t="str">
            <v>Previsto</v>
          </cell>
          <cell r="D22" t="str">
            <v>%</v>
          </cell>
          <cell r="E22" t="str">
            <v>Realizado</v>
          </cell>
          <cell r="F22" t="str">
            <v>%</v>
          </cell>
        </row>
        <row r="36">
          <cell r="B36" t="str">
            <v>Foto e Vídeo</v>
          </cell>
          <cell r="C36" t="str">
            <v>Previsto</v>
          </cell>
          <cell r="D36" t="str">
            <v>%</v>
          </cell>
          <cell r="E36" t="str">
            <v>Realizado</v>
          </cell>
          <cell r="F36" t="str">
            <v>%</v>
          </cell>
        </row>
        <row r="42">
          <cell r="B42" t="str">
            <v>Música</v>
          </cell>
          <cell r="C42" t="str">
            <v>Previsto</v>
          </cell>
          <cell r="D42" t="str">
            <v>%</v>
          </cell>
          <cell r="E42" t="str">
            <v>Realizado</v>
          </cell>
          <cell r="F42" t="str">
            <v>%</v>
          </cell>
        </row>
        <row r="49">
          <cell r="B49" t="str">
            <v>Flores</v>
          </cell>
          <cell r="C49" t="str">
            <v>Previsto</v>
          </cell>
          <cell r="D49" t="str">
            <v>%</v>
          </cell>
          <cell r="E49" t="str">
            <v>Realizado</v>
          </cell>
          <cell r="F49" t="str">
            <v>%</v>
          </cell>
        </row>
        <row r="55">
          <cell r="B55" t="str">
            <v>Gráfica</v>
          </cell>
          <cell r="C55" t="str">
            <v>Previsto</v>
          </cell>
          <cell r="D55" t="str">
            <v>%</v>
          </cell>
          <cell r="E55" t="str">
            <v>Realizado</v>
          </cell>
          <cell r="F55" t="str">
            <v>%</v>
          </cell>
        </row>
        <row r="64">
          <cell r="B64" t="str">
            <v>Transporte</v>
          </cell>
          <cell r="C64" t="str">
            <v>Previsto</v>
          </cell>
          <cell r="D64" t="str">
            <v>%</v>
          </cell>
          <cell r="E64" t="str">
            <v>Realizado</v>
          </cell>
          <cell r="F64" t="str">
            <v>%</v>
          </cell>
        </row>
        <row r="70">
          <cell r="B70" t="str">
            <v>Cerimônia Civil e Religiosa</v>
          </cell>
          <cell r="C70" t="str">
            <v>Previsto</v>
          </cell>
          <cell r="D70" t="str">
            <v>%</v>
          </cell>
          <cell r="E70" t="str">
            <v>Realizado</v>
          </cell>
          <cell r="F70" t="str">
            <v>%</v>
          </cell>
        </row>
        <row r="77">
          <cell r="B77" t="str">
            <v>Lua de Mel</v>
          </cell>
          <cell r="C77" t="str">
            <v>Previsto</v>
          </cell>
          <cell r="D77" t="str">
            <v>%</v>
          </cell>
          <cell r="E77" t="str">
            <v>Realizado</v>
          </cell>
          <cell r="F77" t="str">
            <v>%</v>
          </cell>
        </row>
        <row r="85">
          <cell r="B85" t="str">
            <v>Outras despesas</v>
          </cell>
          <cell r="C85" t="str">
            <v>Previsto</v>
          </cell>
          <cell r="D85" t="str">
            <v>%</v>
          </cell>
          <cell r="E85" t="str">
            <v>Realizado</v>
          </cell>
          <cell r="F85" t="str">
            <v>%</v>
          </cell>
        </row>
      </sheetData>
      <sheetData sheetId="1"/>
      <sheetData sheetId="2"/>
      <sheetData sheetId="3">
        <row r="4">
          <cell r="C4" t="str">
            <v>Previsto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RENÓPOLIS-GO"/>
      <sheetName val="ARAGUAINA-TO"/>
      <sheetName val="GOIANÉSIA-GO"/>
      <sheetName val="ADM-SEDE"/>
      <sheetName val="FC PIRENOPOLIS"/>
      <sheetName val="SALDO BD "/>
      <sheetName val="BD ORÇADO"/>
      <sheetName val="BD REALIZADO"/>
      <sheetName val="BD FORECAST"/>
      <sheetName val="LIS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N1048575"/>
  <sheetViews>
    <sheetView showGridLines="0" zoomScale="90" zoomScaleNormal="90" workbookViewId="0">
      <selection activeCell="J5" sqref="J5"/>
    </sheetView>
  </sheetViews>
  <sheetFormatPr defaultColWidth="9.109375" defaultRowHeight="14.4" x14ac:dyDescent="0.3"/>
  <cols>
    <col min="1" max="1" width="28" style="21" customWidth="1"/>
    <col min="2" max="2" width="4.33203125" style="22" customWidth="1"/>
    <col min="3" max="3" width="13" style="20" customWidth="1"/>
    <col min="4" max="4" width="15.44140625" style="20" bestFit="1" customWidth="1"/>
    <col min="5" max="9" width="17.44140625" style="20" customWidth="1"/>
    <col min="10" max="10" width="10.88671875" style="20" customWidth="1"/>
    <col min="11" max="11" width="20.5546875" style="20" customWidth="1"/>
    <col min="12" max="12" width="10.33203125" style="20" customWidth="1"/>
    <col min="13" max="13" width="3.88671875" style="250" customWidth="1"/>
    <col min="14" max="14" width="11.5546875" style="20" customWidth="1"/>
    <col min="15" max="15" width="14.5546875" style="20" customWidth="1"/>
    <col min="16" max="16" width="9.88671875" style="21" customWidth="1"/>
    <col min="17" max="17" width="16.88671875" style="21" customWidth="1"/>
    <col min="18" max="1028" width="9.109375" style="21"/>
  </cols>
  <sheetData>
    <row r="1" spans="1:15" ht="17.399999999999999" x14ac:dyDescent="0.3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46"/>
    </row>
    <row r="2" spans="1:15" ht="15" customHeight="1" x14ac:dyDescent="0.3">
      <c r="A2" s="263" t="s">
        <v>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46"/>
    </row>
    <row r="3" spans="1:15" ht="15.75" customHeight="1" thickBot="1" x14ac:dyDescent="0.35">
      <c r="A3" s="264" t="s">
        <v>2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47"/>
    </row>
    <row r="4" spans="1:15" s="17" customFormat="1" thickTop="1" thickBot="1" x14ac:dyDescent="0.35">
      <c r="A4" s="23" t="s">
        <v>3</v>
      </c>
      <c r="B4" s="23"/>
      <c r="C4" s="24">
        <v>2016</v>
      </c>
      <c r="D4" s="24">
        <v>2016</v>
      </c>
      <c r="E4" s="24">
        <v>2017</v>
      </c>
      <c r="F4" s="24">
        <v>2018</v>
      </c>
      <c r="G4" s="24">
        <v>2019</v>
      </c>
      <c r="H4" s="24">
        <v>2020</v>
      </c>
      <c r="I4" s="24">
        <v>2021</v>
      </c>
      <c r="J4" s="24" t="s">
        <v>4</v>
      </c>
      <c r="K4" s="24">
        <v>2018</v>
      </c>
      <c r="L4" s="24" t="s">
        <v>4</v>
      </c>
      <c r="M4" s="248"/>
      <c r="N4" s="44"/>
      <c r="O4" s="44"/>
    </row>
    <row r="5" spans="1:15" s="17" customFormat="1" ht="26.25" customHeight="1" thickTop="1" x14ac:dyDescent="0.3">
      <c r="A5" s="25" t="s">
        <v>5</v>
      </c>
      <c r="B5" s="26"/>
      <c r="C5" s="27">
        <v>0</v>
      </c>
      <c r="D5" s="27">
        <f>'Base -Receita-Despesa'!C14</f>
        <v>200335.58999999959</v>
      </c>
      <c r="E5" s="27" t="e">
        <f>'Base -Receita-Despesa'!#REF!</f>
        <v>#REF!</v>
      </c>
      <c r="F5" s="27" t="e">
        <f>'Base -Receita-Despesa'!#REF!</f>
        <v>#REF!</v>
      </c>
      <c r="G5" s="27" t="e">
        <f>'Base -Receita-Despesa'!#REF!</f>
        <v>#REF!</v>
      </c>
      <c r="H5" s="27" t="e">
        <f>'Base -Receita-Despesa'!#REF!</f>
        <v>#REF!</v>
      </c>
      <c r="I5" s="27" t="e">
        <f>'Base -Receita-Despesa'!#REF!</f>
        <v>#REF!</v>
      </c>
      <c r="J5" s="28" t="e">
        <f>E5/D5</f>
        <v>#REF!</v>
      </c>
      <c r="K5" s="27" t="e">
        <f>HLOOKUP($K$4,$D$4:$J$17,M5,0)</f>
        <v>#REF!</v>
      </c>
      <c r="L5" s="28" t="e">
        <f t="shared" ref="L5:L7" si="0">K5/E5</f>
        <v>#REF!</v>
      </c>
      <c r="M5" s="249">
        <v>2</v>
      </c>
      <c r="N5" s="44"/>
      <c r="O5" s="44"/>
    </row>
    <row r="6" spans="1:15" s="17" customFormat="1" ht="19.5" customHeight="1" x14ac:dyDescent="0.3">
      <c r="A6" s="25" t="s">
        <v>6</v>
      </c>
      <c r="B6" s="26"/>
      <c r="C6" s="27">
        <v>0</v>
      </c>
      <c r="D6" s="27">
        <f>'Base -Receita-Despesa'!N69</f>
        <v>0</v>
      </c>
      <c r="E6" s="27" t="e">
        <f>'Base -Receita-Despesa'!#REF!</f>
        <v>#REF!</v>
      </c>
      <c r="F6" s="27" t="e">
        <f>'Base -Receita-Despesa'!#REF!</f>
        <v>#REF!</v>
      </c>
      <c r="G6" s="27" t="e">
        <f>'Base -Receita-Despesa'!#REF!</f>
        <v>#REF!</v>
      </c>
      <c r="H6" s="27" t="e">
        <f>'Base -Receita-Despesa'!#REF!</f>
        <v>#REF!</v>
      </c>
      <c r="I6" s="27" t="e">
        <f>'Base -Receita-Despesa'!#REF!</f>
        <v>#REF!</v>
      </c>
      <c r="J6" s="28" t="e">
        <f>E6/D6</f>
        <v>#REF!</v>
      </c>
      <c r="K6" s="27" t="e">
        <f t="shared" ref="K6:K15" si="1">HLOOKUP($K$4,$D$4:$J$17,M6,0)</f>
        <v>#REF!</v>
      </c>
      <c r="L6" s="28" t="e">
        <f t="shared" si="0"/>
        <v>#REF!</v>
      </c>
      <c r="M6" s="249">
        <v>3</v>
      </c>
      <c r="N6" s="44"/>
      <c r="O6" s="44"/>
    </row>
    <row r="7" spans="1:15" s="17" customFormat="1" ht="19.5" customHeight="1" x14ac:dyDescent="0.3">
      <c r="A7" s="25" t="s">
        <v>7</v>
      </c>
      <c r="B7" s="26" t="s">
        <v>8</v>
      </c>
      <c r="C7" s="27">
        <v>0</v>
      </c>
      <c r="D7" s="27">
        <f ca="1">INDIRECT(ADDRESS(23,D$18,2,,"Base -Receita-Despesa"))</f>
        <v>9469266.459999999</v>
      </c>
      <c r="E7" s="27">
        <f ca="1">INDIRECT(ADDRESS(23,E$18,2,,"Base -Receita-Despesa"))</f>
        <v>0</v>
      </c>
      <c r="F7" s="27">
        <f t="shared" ref="F7:I7" ca="1" si="2">INDIRECT(ADDRESS(23,F$18,2,,"Base -Receita-Despesa"))</f>
        <v>0</v>
      </c>
      <c r="G7" s="27">
        <f t="shared" ca="1" si="2"/>
        <v>0</v>
      </c>
      <c r="H7" s="27">
        <f t="shared" ca="1" si="2"/>
        <v>0</v>
      </c>
      <c r="I7" s="27">
        <f t="shared" ca="1" si="2"/>
        <v>0</v>
      </c>
      <c r="J7" s="28">
        <f ca="1">E7/D7</f>
        <v>0</v>
      </c>
      <c r="K7" s="27">
        <f t="shared" ca="1" si="1"/>
        <v>0</v>
      </c>
      <c r="L7" s="28" t="e">
        <f t="shared" ca="1" si="0"/>
        <v>#DIV/0!</v>
      </c>
      <c r="M7" s="249">
        <v>4</v>
      </c>
      <c r="N7" s="44"/>
      <c r="O7" s="44"/>
    </row>
    <row r="8" spans="1:15" s="17" customFormat="1" ht="19.5" customHeight="1" x14ac:dyDescent="0.3">
      <c r="A8" s="29" t="s">
        <v>9</v>
      </c>
      <c r="B8" s="30"/>
      <c r="C8" s="31">
        <f>SUM(C5:C7)</f>
        <v>0</v>
      </c>
      <c r="D8" s="31">
        <f ca="1">SUM(D7)</f>
        <v>9469266.459999999</v>
      </c>
      <c r="E8" s="31">
        <f ca="1">SUM(E7)</f>
        <v>0</v>
      </c>
      <c r="F8" s="31"/>
      <c r="G8" s="31"/>
      <c r="H8" s="31"/>
      <c r="I8" s="31"/>
      <c r="J8" s="32">
        <f ca="1">E8/D8</f>
        <v>0</v>
      </c>
      <c r="K8" s="31">
        <f ca="1">SUM(K7)</f>
        <v>0</v>
      </c>
      <c r="L8" s="245" t="e">
        <f ca="1">K8/E8</f>
        <v>#DIV/0!</v>
      </c>
      <c r="M8" s="249">
        <v>5</v>
      </c>
      <c r="N8" s="44"/>
      <c r="O8" s="44"/>
    </row>
    <row r="9" spans="1:15" s="17" customFormat="1" ht="19.5" customHeight="1" x14ac:dyDescent="0.3">
      <c r="A9" s="25" t="s">
        <v>10</v>
      </c>
      <c r="B9" s="26" t="s">
        <v>11</v>
      </c>
      <c r="C9" s="27">
        <v>0</v>
      </c>
      <c r="D9" s="27">
        <f ca="1">INDIRECT(ADDRESS(33,D$18,2,,"Base -Receita-Despesa"))</f>
        <v>-26170.11</v>
      </c>
      <c r="E9" s="27">
        <f ca="1">INDIRECT(ADDRESS(33,E$18,2,,"Base -Receita-Despesa"))</f>
        <v>0</v>
      </c>
      <c r="F9" s="27">
        <f t="shared" ref="F9:I9" ca="1" si="3">INDIRECT(ADDRESS(33,F$18,2,,"Base -Receita-Despesa"))</f>
        <v>0</v>
      </c>
      <c r="G9" s="27">
        <f t="shared" ca="1" si="3"/>
        <v>0</v>
      </c>
      <c r="H9" s="27">
        <f t="shared" ca="1" si="3"/>
        <v>0</v>
      </c>
      <c r="I9" s="27">
        <f t="shared" ca="1" si="3"/>
        <v>0</v>
      </c>
      <c r="J9" s="28">
        <f ca="1">E9/D9</f>
        <v>0</v>
      </c>
      <c r="K9" s="27">
        <f t="shared" ca="1" si="1"/>
        <v>0</v>
      </c>
      <c r="L9" s="28" t="e">
        <f t="shared" ref="L9:L17" ca="1" si="4">K9/E9</f>
        <v>#DIV/0!</v>
      </c>
      <c r="M9" s="249">
        <v>6</v>
      </c>
      <c r="N9" s="44"/>
      <c r="O9" s="44"/>
    </row>
    <row r="10" spans="1:15" s="17" customFormat="1" ht="19.5" customHeight="1" x14ac:dyDescent="0.3">
      <c r="A10" s="25" t="s">
        <v>12</v>
      </c>
      <c r="B10" s="26" t="s">
        <v>11</v>
      </c>
      <c r="C10" s="27">
        <v>0</v>
      </c>
      <c r="D10" s="27">
        <f ca="1">INDIRECT(ADDRESS(34,D$18,2,,"Base -Receita-Despesa"))+INDIRECT(ADDRESS(40,D$18,2,,"Base -Receita-Despesa"))+INDIRECT(ADDRESS(47,D$18,2,,"Base -Receita-Despesa"))</f>
        <v>-4556627.4326564111</v>
      </c>
      <c r="E10" s="27">
        <f ca="1">INDIRECT(ADDRESS(34,E$18,2,,"Base -Receita-Despesa"))+INDIRECT(ADDRESS(40,E$18,2,,"Base -Receita-Despesa"))+INDIRECT(ADDRESS(47,E$18,2,,"Base -Receita-Despesa"))</f>
        <v>0</v>
      </c>
      <c r="F10" s="27">
        <f t="shared" ref="F10:I10" ca="1" si="5">INDIRECT(ADDRESS(34,F$18,2,,"Base -Receita-Despesa"))+INDIRECT(ADDRESS(40,F$18,2,,"Base -Receita-Despesa"))+INDIRECT(ADDRESS(47,F$18,2,,"Base -Receita-Despesa"))</f>
        <v>0</v>
      </c>
      <c r="G10" s="27">
        <f t="shared" ca="1" si="5"/>
        <v>0</v>
      </c>
      <c r="H10" s="27">
        <f t="shared" ca="1" si="5"/>
        <v>0</v>
      </c>
      <c r="I10" s="27">
        <f t="shared" ca="1" si="5"/>
        <v>0</v>
      </c>
      <c r="J10" s="28">
        <f t="shared" ref="J10:J16" ca="1" si="6">E10/D10</f>
        <v>0</v>
      </c>
      <c r="K10" s="27">
        <f t="shared" ca="1" si="1"/>
        <v>0</v>
      </c>
      <c r="L10" s="28" t="e">
        <f t="shared" ca="1" si="4"/>
        <v>#DIV/0!</v>
      </c>
      <c r="M10" s="249">
        <v>7</v>
      </c>
      <c r="N10" s="44"/>
      <c r="O10" s="44"/>
    </row>
    <row r="11" spans="1:15" s="18" customFormat="1" ht="19.5" customHeight="1" x14ac:dyDescent="0.3">
      <c r="A11" s="33" t="s">
        <v>13</v>
      </c>
      <c r="B11" s="34" t="s">
        <v>11</v>
      </c>
      <c r="C11" s="35">
        <v>0</v>
      </c>
      <c r="D11" s="35">
        <f ca="1">INDIRECT(ADDRESS(41,D$18,2,,"Base -Receita-Despesa"))</f>
        <v>-261342.5</v>
      </c>
      <c r="E11" s="35">
        <f t="shared" ref="E11:I11" ca="1" si="7">INDIRECT(ADDRESS(41,E$18,2,,"Base -Receita-Despesa"))</f>
        <v>0</v>
      </c>
      <c r="F11" s="35">
        <f t="shared" ca="1" si="7"/>
        <v>0</v>
      </c>
      <c r="G11" s="35">
        <f t="shared" ca="1" si="7"/>
        <v>0</v>
      </c>
      <c r="H11" s="35">
        <f t="shared" ca="1" si="7"/>
        <v>0</v>
      </c>
      <c r="I11" s="35">
        <f t="shared" ca="1" si="7"/>
        <v>0</v>
      </c>
      <c r="J11" s="28">
        <f t="shared" ca="1" si="6"/>
        <v>0</v>
      </c>
      <c r="K11" s="35">
        <f t="shared" ca="1" si="1"/>
        <v>0</v>
      </c>
      <c r="L11" s="36" t="e">
        <f t="shared" ca="1" si="4"/>
        <v>#DIV/0!</v>
      </c>
      <c r="M11" s="249">
        <v>8</v>
      </c>
      <c r="N11" s="45"/>
      <c r="O11" s="45"/>
    </row>
    <row r="12" spans="1:15" s="17" customFormat="1" ht="19.5" customHeight="1" x14ac:dyDescent="0.3">
      <c r="A12" s="25" t="s">
        <v>14</v>
      </c>
      <c r="B12" s="26" t="s">
        <v>11</v>
      </c>
      <c r="C12" s="27">
        <v>0</v>
      </c>
      <c r="D12" s="27">
        <f ca="1">INDIRECT(ADDRESS(35,D$18,2,,"Base -Receita-Despesa"))</f>
        <v>-3721726.5999999996</v>
      </c>
      <c r="E12" s="27">
        <f t="shared" ref="E12:I12" ca="1" si="8">INDIRECT(ADDRESS(35,E$18,2,,"Base -Receita-Despesa"))</f>
        <v>0</v>
      </c>
      <c r="F12" s="27">
        <f t="shared" ca="1" si="8"/>
        <v>0</v>
      </c>
      <c r="G12" s="27">
        <f t="shared" ca="1" si="8"/>
        <v>0</v>
      </c>
      <c r="H12" s="27">
        <f t="shared" ca="1" si="8"/>
        <v>0</v>
      </c>
      <c r="I12" s="27">
        <f t="shared" ca="1" si="8"/>
        <v>0</v>
      </c>
      <c r="J12" s="28">
        <f t="shared" ca="1" si="6"/>
        <v>0</v>
      </c>
      <c r="K12" s="27">
        <f t="shared" ca="1" si="1"/>
        <v>0</v>
      </c>
      <c r="L12" s="28" t="e">
        <f t="shared" ca="1" si="4"/>
        <v>#DIV/0!</v>
      </c>
      <c r="M12" s="249">
        <v>9</v>
      </c>
      <c r="N12" s="44"/>
      <c r="O12" s="44"/>
    </row>
    <row r="13" spans="1:15" s="17" customFormat="1" ht="19.5" customHeight="1" x14ac:dyDescent="0.3">
      <c r="A13" s="25" t="s">
        <v>15</v>
      </c>
      <c r="B13" s="26" t="s">
        <v>11</v>
      </c>
      <c r="C13" s="27">
        <v>0</v>
      </c>
      <c r="D13" s="27">
        <f ca="1">INDIRECT(ADDRESS(36,D$18,2,,"Base -Receita-Despesa"))</f>
        <v>-720730.39000000013</v>
      </c>
      <c r="E13" s="27">
        <f ca="1">INDIRECT(ADDRESS(36,E$18,2,,"Base -Receita-Despesa"))</f>
        <v>0</v>
      </c>
      <c r="F13" s="27">
        <f t="shared" ref="F13:I13" ca="1" si="9">INDIRECT(ADDRESS(36,F$18,2,,"Base -Receita-Despesa"))</f>
        <v>0</v>
      </c>
      <c r="G13" s="27">
        <f t="shared" ca="1" si="9"/>
        <v>0</v>
      </c>
      <c r="H13" s="27">
        <f t="shared" ca="1" si="9"/>
        <v>0</v>
      </c>
      <c r="I13" s="27">
        <f t="shared" ca="1" si="9"/>
        <v>0</v>
      </c>
      <c r="J13" s="28">
        <f t="shared" ca="1" si="6"/>
        <v>0</v>
      </c>
      <c r="K13" s="27">
        <f t="shared" ca="1" si="1"/>
        <v>0</v>
      </c>
      <c r="L13" s="28" t="e">
        <f t="shared" ca="1" si="4"/>
        <v>#DIV/0!</v>
      </c>
      <c r="M13" s="249">
        <v>10</v>
      </c>
      <c r="N13" s="44"/>
      <c r="O13" s="44"/>
    </row>
    <row r="14" spans="1:15" s="17" customFormat="1" ht="19.5" customHeight="1" x14ac:dyDescent="0.3">
      <c r="A14" s="25" t="s">
        <v>16</v>
      </c>
      <c r="B14" s="26" t="s">
        <v>11</v>
      </c>
      <c r="C14" s="27">
        <v>0</v>
      </c>
      <c r="D14" s="27">
        <f ca="1">INDIRECT(ADDRESS(38,D$18,2,,"Base -Receita-Despesa"))</f>
        <v>-23349.200000000001</v>
      </c>
      <c r="E14" s="27">
        <f ca="1">INDIRECT(ADDRESS(38,E$18,2,,"Base -Receita-Despesa"))</f>
        <v>0</v>
      </c>
      <c r="F14" s="27">
        <f t="shared" ref="F14:I14" ca="1" si="10">INDIRECT(ADDRESS(38,F$18,2,,"Base -Receita-Despesa"))</f>
        <v>0</v>
      </c>
      <c r="G14" s="27">
        <f t="shared" ca="1" si="10"/>
        <v>0</v>
      </c>
      <c r="H14" s="27">
        <f t="shared" ca="1" si="10"/>
        <v>0</v>
      </c>
      <c r="I14" s="27">
        <f t="shared" ca="1" si="10"/>
        <v>0</v>
      </c>
      <c r="J14" s="28">
        <f t="shared" ca="1" si="6"/>
        <v>0</v>
      </c>
      <c r="K14" s="27">
        <f t="shared" ca="1" si="1"/>
        <v>0</v>
      </c>
      <c r="L14" s="28" t="e">
        <f t="shared" ca="1" si="4"/>
        <v>#DIV/0!</v>
      </c>
      <c r="M14" s="249">
        <v>11</v>
      </c>
      <c r="N14" s="44"/>
      <c r="O14" s="44"/>
    </row>
    <row r="15" spans="1:15" s="17" customFormat="1" ht="19.5" customHeight="1" x14ac:dyDescent="0.3">
      <c r="A15" s="25" t="s">
        <v>17</v>
      </c>
      <c r="B15" s="26" t="s">
        <v>11</v>
      </c>
      <c r="C15" s="27">
        <v>0</v>
      </c>
      <c r="D15" s="27">
        <f>SUM('Base -Receita-Despesa'!O37,'Base -Receita-Despesa'!O39,'Base -Receita-Despesa'!O42:O46,'Base -Receita-Despesa'!O48:O49)</f>
        <v>-216468.57999999996</v>
      </c>
      <c r="E15" s="27" t="e">
        <f>SUM('Base -Receita-Despesa'!#REF!,'Base -Receita-Despesa'!#REF!,'Base -Receita-Despesa'!#REF!,'Base -Receita-Despesa'!#REF!,'Base -Receita-Despesa'!#REF!,'Base -Receita-Despesa'!#REF!,'Base -Receita-Despesa'!#REF!,'Base -Receita-Despesa'!#REF!,'Base -Receita-Despesa'!#REF!)</f>
        <v>#REF!</v>
      </c>
      <c r="F15" s="27" t="e">
        <f>SUM('Base -Receita-Despesa'!#REF!,'Base -Receita-Despesa'!#REF!,'Base -Receita-Despesa'!#REF!,'Base -Receita-Despesa'!#REF!)</f>
        <v>#REF!</v>
      </c>
      <c r="G15" s="27" t="e">
        <f>SUM('Base -Receita-Despesa'!#REF!,'Base -Receita-Despesa'!#REF!,'Base -Receita-Despesa'!#REF!,'Base -Receita-Despesa'!#REF!)</f>
        <v>#REF!</v>
      </c>
      <c r="H15" s="27" t="e">
        <f>SUM('Base -Receita-Despesa'!#REF!,'Base -Receita-Despesa'!#REF!,'Base -Receita-Despesa'!#REF!,'Base -Receita-Despesa'!#REF!)</f>
        <v>#REF!</v>
      </c>
      <c r="I15" s="27" t="e">
        <f>SUM('Base -Receita-Despesa'!#REF!,'Base -Receita-Despesa'!#REF!,'Base -Receita-Despesa'!#REF!,'Base -Receita-Despesa'!#REF!)</f>
        <v>#REF!</v>
      </c>
      <c r="J15" s="28" t="e">
        <f t="shared" si="6"/>
        <v>#REF!</v>
      </c>
      <c r="K15" s="27" t="e">
        <f t="shared" si="1"/>
        <v>#REF!</v>
      </c>
      <c r="L15" s="28" t="e">
        <f t="shared" si="4"/>
        <v>#REF!</v>
      </c>
      <c r="M15" s="249">
        <v>12</v>
      </c>
      <c r="N15" s="44"/>
      <c r="O15" s="44"/>
    </row>
    <row r="16" spans="1:15" s="19" customFormat="1" ht="19.5" customHeight="1" thickBot="1" x14ac:dyDescent="0.35">
      <c r="A16" s="29" t="s">
        <v>18</v>
      </c>
      <c r="B16" s="30"/>
      <c r="C16" s="31">
        <f>SUM(C9:C15)</f>
        <v>0</v>
      </c>
      <c r="D16" s="31">
        <f ca="1">SUM(D9:D15)</f>
        <v>-9526414.8126564119</v>
      </c>
      <c r="E16" s="31" t="e">
        <f ca="1">SUM(E9:E15)</f>
        <v>#REF!</v>
      </c>
      <c r="F16" s="31" t="e">
        <f t="shared" ref="F16:I16" ca="1" si="11">SUM(F9:F15)</f>
        <v>#REF!</v>
      </c>
      <c r="G16" s="31" t="e">
        <f t="shared" ca="1" si="11"/>
        <v>#REF!</v>
      </c>
      <c r="H16" s="31" t="e">
        <f t="shared" ca="1" si="11"/>
        <v>#REF!</v>
      </c>
      <c r="I16" s="31" t="e">
        <f t="shared" ca="1" si="11"/>
        <v>#REF!</v>
      </c>
      <c r="J16" s="164" t="e">
        <f t="shared" ca="1" si="6"/>
        <v>#REF!</v>
      </c>
      <c r="K16" s="31" t="e">
        <f ca="1">SUM(K9:K15)</f>
        <v>#REF!</v>
      </c>
      <c r="L16" s="164" t="e">
        <f t="shared" ca="1" si="4"/>
        <v>#REF!</v>
      </c>
      <c r="M16" s="249">
        <v>13</v>
      </c>
      <c r="N16" s="46"/>
      <c r="O16" s="46"/>
    </row>
    <row r="17" spans="1:15" s="17" customFormat="1" ht="19.5" customHeight="1" thickTop="1" thickBot="1" x14ac:dyDescent="0.35">
      <c r="A17" s="37" t="s">
        <v>19</v>
      </c>
      <c r="B17" s="23" t="s">
        <v>20</v>
      </c>
      <c r="C17" s="38">
        <f>C8-C16</f>
        <v>0</v>
      </c>
      <c r="D17" s="38">
        <f ca="1">D8+D16</f>
        <v>-57148.35265641287</v>
      </c>
      <c r="E17" s="38" t="e">
        <f ca="1">E8+E16</f>
        <v>#REF!</v>
      </c>
      <c r="F17" s="38" t="e">
        <f t="shared" ref="F17:I17" ca="1" si="12">F8+F16</f>
        <v>#REF!</v>
      </c>
      <c r="G17" s="38" t="e">
        <f t="shared" ca="1" si="12"/>
        <v>#REF!</v>
      </c>
      <c r="H17" s="38" t="e">
        <f t="shared" ca="1" si="12"/>
        <v>#REF!</v>
      </c>
      <c r="I17" s="38" t="e">
        <f t="shared" ca="1" si="12"/>
        <v>#REF!</v>
      </c>
      <c r="J17" s="39" t="e">
        <f ca="1">E17/D17</f>
        <v>#REF!</v>
      </c>
      <c r="K17" s="38" t="e">
        <f ca="1">K8+K16</f>
        <v>#REF!</v>
      </c>
      <c r="L17" s="39" t="e">
        <f t="shared" ca="1" si="4"/>
        <v>#REF!</v>
      </c>
      <c r="M17" s="249">
        <v>14</v>
      </c>
      <c r="N17" s="44"/>
      <c r="O17" s="44"/>
    </row>
    <row r="18" spans="1:15" ht="15" thickTop="1" x14ac:dyDescent="0.3">
      <c r="A18" s="40"/>
      <c r="B18" s="41"/>
      <c r="C18" s="42"/>
      <c r="D18" s="42">
        <v>15</v>
      </c>
      <c r="E18" s="42">
        <f>D18+14</f>
        <v>29</v>
      </c>
      <c r="F18" s="42">
        <f>E18+14+1</f>
        <v>44</v>
      </c>
      <c r="G18" s="42">
        <f>F18+14+1</f>
        <v>59</v>
      </c>
      <c r="H18" s="42">
        <f>G18+14+1</f>
        <v>74</v>
      </c>
      <c r="I18" s="42">
        <f>H18+14+1</f>
        <v>89</v>
      </c>
      <c r="J18" s="42"/>
      <c r="K18" s="42"/>
      <c r="L18" s="42"/>
    </row>
    <row r="19" spans="1:15" x14ac:dyDescent="0.3">
      <c r="A19" s="40"/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</row>
    <row r="20" spans="1:15" x14ac:dyDescent="0.3">
      <c r="A20" s="260" t="s">
        <v>21</v>
      </c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</row>
    <row r="21" spans="1:15" x14ac:dyDescent="0.3">
      <c r="A21" s="260" t="s">
        <v>22</v>
      </c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</row>
    <row r="22" spans="1:15" x14ac:dyDescent="0.3">
      <c r="A22" s="259" t="s">
        <v>23</v>
      </c>
      <c r="B22" s="259"/>
      <c r="C22" s="259"/>
      <c r="D22" s="259"/>
      <c r="E22" s="259"/>
      <c r="F22" s="216"/>
      <c r="G22" s="216"/>
      <c r="H22" s="216"/>
      <c r="I22" s="216"/>
      <c r="J22" s="43"/>
      <c r="K22" s="43"/>
      <c r="L22" s="43"/>
    </row>
    <row r="23" spans="1:15" ht="12.75" customHeight="1" x14ac:dyDescent="0.3">
      <c r="A23" s="261" t="s">
        <v>24</v>
      </c>
      <c r="B23" s="261"/>
      <c r="C23" s="261"/>
      <c r="D23" s="261"/>
      <c r="E23" s="261"/>
      <c r="F23" s="217"/>
      <c r="G23" s="217"/>
      <c r="H23" s="217"/>
      <c r="I23" s="217"/>
      <c r="J23" s="43"/>
      <c r="K23" s="43"/>
      <c r="L23" s="43"/>
    </row>
    <row r="24" spans="1:15" x14ac:dyDescent="0.3">
      <c r="A24" s="261"/>
      <c r="B24" s="261"/>
      <c r="C24" s="261"/>
      <c r="D24" s="261"/>
      <c r="E24" s="261"/>
      <c r="F24" s="217"/>
      <c r="G24" s="217"/>
      <c r="H24" s="217"/>
      <c r="I24" s="217"/>
      <c r="J24" s="43"/>
      <c r="K24" s="43"/>
      <c r="L24" s="43"/>
    </row>
    <row r="25" spans="1:15" x14ac:dyDescent="0.3">
      <c r="A25" s="261"/>
      <c r="B25" s="261"/>
      <c r="C25" s="261"/>
      <c r="D25" s="261"/>
      <c r="E25" s="261"/>
      <c r="F25" s="217"/>
      <c r="G25" s="217"/>
      <c r="H25" s="217"/>
      <c r="I25" s="217"/>
      <c r="J25" s="43"/>
      <c r="K25" s="43"/>
      <c r="L25" s="43"/>
    </row>
    <row r="26" spans="1:15" x14ac:dyDescent="0.3">
      <c r="A26" s="261"/>
      <c r="B26" s="261"/>
      <c r="C26" s="261"/>
      <c r="D26" s="261"/>
      <c r="E26" s="261"/>
      <c r="F26" s="217"/>
      <c r="G26" s="217"/>
      <c r="H26" s="217"/>
      <c r="I26" s="217"/>
      <c r="J26" s="43"/>
      <c r="K26" s="43"/>
      <c r="L26" s="43"/>
    </row>
    <row r="27" spans="1:15" x14ac:dyDescent="0.3">
      <c r="A27" s="261"/>
      <c r="B27" s="261"/>
      <c r="C27" s="261"/>
      <c r="D27" s="261"/>
      <c r="E27" s="261"/>
      <c r="F27" s="217"/>
      <c r="G27" s="217"/>
      <c r="H27" s="217"/>
      <c r="I27" s="217"/>
      <c r="J27" s="43"/>
      <c r="K27" s="43"/>
      <c r="L27" s="43"/>
    </row>
    <row r="28" spans="1:15" x14ac:dyDescent="0.3">
      <c r="A28" s="261"/>
      <c r="B28" s="261"/>
      <c r="C28" s="261"/>
      <c r="D28" s="261"/>
      <c r="E28" s="261"/>
      <c r="F28" s="217"/>
      <c r="G28" s="217"/>
      <c r="H28" s="217"/>
      <c r="I28" s="217"/>
      <c r="J28" s="43"/>
      <c r="K28" s="43"/>
      <c r="L28" s="43"/>
    </row>
    <row r="29" spans="1:15" s="20" customFormat="1" ht="13.2" x14ac:dyDescent="0.25">
      <c r="A29" s="21"/>
      <c r="B29" s="22"/>
      <c r="M29" s="250"/>
    </row>
    <row r="30" spans="1:15" s="20" customFormat="1" ht="13.2" x14ac:dyDescent="0.25">
      <c r="A30" s="21"/>
      <c r="B30" s="22"/>
      <c r="M30" s="250"/>
    </row>
    <row r="31" spans="1:15" s="20" customFormat="1" ht="13.2" x14ac:dyDescent="0.25">
      <c r="A31" s="21"/>
      <c r="B31" s="22"/>
      <c r="M31" s="250"/>
    </row>
    <row r="32" spans="1:15" s="20" customFormat="1" ht="13.2" x14ac:dyDescent="0.25">
      <c r="A32" s="21"/>
      <c r="B32" s="22"/>
      <c r="M32" s="250"/>
    </row>
    <row r="33" spans="1:13" s="20" customFormat="1" ht="13.2" x14ac:dyDescent="0.25">
      <c r="A33" s="21"/>
      <c r="B33" s="22"/>
      <c r="M33" s="250"/>
    </row>
    <row r="34" spans="1:13" s="20" customFormat="1" ht="13.2" x14ac:dyDescent="0.25">
      <c r="A34" s="21"/>
      <c r="B34" s="22"/>
      <c r="M34" s="250"/>
    </row>
    <row r="35" spans="1:13" s="20" customFormat="1" ht="13.2" x14ac:dyDescent="0.25">
      <c r="A35" s="21"/>
      <c r="B35" s="22"/>
      <c r="M35" s="250"/>
    </row>
    <row r="36" spans="1:13" s="20" customFormat="1" ht="13.2" x14ac:dyDescent="0.25">
      <c r="A36" s="21"/>
      <c r="B36" s="22"/>
      <c r="M36" s="250"/>
    </row>
    <row r="37" spans="1:13" s="20" customFormat="1" ht="13.2" x14ac:dyDescent="0.25">
      <c r="A37" s="21"/>
      <c r="B37" s="22"/>
      <c r="M37" s="250"/>
    </row>
    <row r="38" spans="1:13" s="20" customFormat="1" ht="13.2" x14ac:dyDescent="0.25">
      <c r="A38" s="21"/>
      <c r="B38" s="22"/>
      <c r="M38" s="250"/>
    </row>
    <row r="39" spans="1:13" s="20" customFormat="1" ht="13.2" x14ac:dyDescent="0.25">
      <c r="A39" s="21"/>
      <c r="B39" s="22"/>
      <c r="M39" s="250"/>
    </row>
    <row r="40" spans="1:13" s="20" customFormat="1" ht="13.2" x14ac:dyDescent="0.25">
      <c r="A40" s="21"/>
      <c r="B40" s="22"/>
      <c r="M40" s="250"/>
    </row>
    <row r="41" spans="1:13" s="20" customFormat="1" ht="13.2" x14ac:dyDescent="0.25">
      <c r="A41" s="21"/>
      <c r="B41" s="22"/>
      <c r="M41" s="250"/>
    </row>
    <row r="42" spans="1:13" s="20" customFormat="1" ht="13.2" x14ac:dyDescent="0.25">
      <c r="A42" s="21"/>
      <c r="B42" s="22"/>
      <c r="M42" s="250"/>
    </row>
    <row r="43" spans="1:13" s="20" customFormat="1" ht="13.2" x14ac:dyDescent="0.25">
      <c r="A43" s="21"/>
      <c r="B43" s="22"/>
      <c r="M43" s="251"/>
    </row>
    <row r="44" spans="1:13" s="20" customFormat="1" ht="13.2" x14ac:dyDescent="0.25">
      <c r="A44" s="21"/>
      <c r="B44" s="22"/>
      <c r="M44" s="252"/>
    </row>
    <row r="45" spans="1:13" s="20" customFormat="1" ht="13.2" x14ac:dyDescent="0.25">
      <c r="A45" s="21"/>
      <c r="B45" s="22"/>
      <c r="M45" s="250"/>
    </row>
    <row r="46" spans="1:13" s="20" customFormat="1" ht="13.2" x14ac:dyDescent="0.25">
      <c r="A46" s="21"/>
      <c r="B46" s="22"/>
      <c r="M46" s="250"/>
    </row>
    <row r="47" spans="1:13" s="20" customFormat="1" ht="13.2" x14ac:dyDescent="0.25">
      <c r="A47" s="21"/>
      <c r="B47" s="22"/>
      <c r="M47" s="253"/>
    </row>
    <row r="48" spans="1:13" s="20" customFormat="1" ht="13.2" x14ac:dyDescent="0.25">
      <c r="A48" s="21"/>
      <c r="B48" s="22"/>
      <c r="M48" s="250"/>
    </row>
    <row r="49" spans="1:13" s="20" customFormat="1" ht="13.2" x14ac:dyDescent="0.25">
      <c r="A49" s="21"/>
      <c r="B49" s="22"/>
      <c r="M49" s="250"/>
    </row>
    <row r="50" spans="1:13" s="20" customFormat="1" ht="13.2" x14ac:dyDescent="0.25">
      <c r="A50" s="21"/>
      <c r="B50" s="22"/>
      <c r="M50" s="250"/>
    </row>
    <row r="51" spans="1:13" s="20" customFormat="1" ht="13.2" x14ac:dyDescent="0.25">
      <c r="A51" s="21"/>
      <c r="B51" s="22"/>
      <c r="M51" s="250"/>
    </row>
    <row r="52" spans="1:13" s="20" customFormat="1" ht="13.2" x14ac:dyDescent="0.25">
      <c r="A52" s="21"/>
      <c r="B52" s="22"/>
      <c r="M52" s="250"/>
    </row>
    <row r="53" spans="1:13" s="20" customFormat="1" ht="13.2" x14ac:dyDescent="0.25">
      <c r="A53" s="21"/>
      <c r="B53" s="22"/>
      <c r="M53" s="250"/>
    </row>
    <row r="63" spans="1:13" s="20" customFormat="1" ht="13.2" x14ac:dyDescent="0.25">
      <c r="A63" s="21"/>
      <c r="B63" s="22"/>
      <c r="M63" s="250"/>
    </row>
    <row r="64" spans="1:13" s="20" customFormat="1" ht="13.2" x14ac:dyDescent="0.25">
      <c r="A64" s="21"/>
      <c r="B64" s="22"/>
      <c r="M64" s="250"/>
    </row>
    <row r="65" spans="1:13" s="20" customFormat="1" ht="13.2" x14ac:dyDescent="0.25">
      <c r="A65" s="21"/>
      <c r="B65" s="22"/>
      <c r="M65" s="250"/>
    </row>
    <row r="66" spans="1:13" s="20" customFormat="1" ht="13.2" x14ac:dyDescent="0.25">
      <c r="A66" s="21"/>
      <c r="B66" s="22"/>
      <c r="M66" s="250"/>
    </row>
    <row r="67" spans="1:13" s="20" customFormat="1" ht="13.2" x14ac:dyDescent="0.25">
      <c r="A67" s="21"/>
      <c r="B67" s="22"/>
      <c r="M67" s="250"/>
    </row>
    <row r="68" spans="1:13" s="20" customFormat="1" ht="13.2" x14ac:dyDescent="0.25">
      <c r="A68" s="21"/>
      <c r="B68" s="22"/>
      <c r="M68" s="250"/>
    </row>
    <row r="69" spans="1:13" s="20" customFormat="1" ht="13.2" x14ac:dyDescent="0.25">
      <c r="A69" s="21"/>
      <c r="B69" s="22"/>
      <c r="M69" s="250"/>
    </row>
    <row r="70" spans="1:13" s="20" customFormat="1" ht="13.2" x14ac:dyDescent="0.25">
      <c r="A70" s="21"/>
      <c r="B70" s="22"/>
      <c r="M70" s="250"/>
    </row>
    <row r="71" spans="1:13" s="20" customFormat="1" ht="13.2" x14ac:dyDescent="0.25">
      <c r="A71" s="21"/>
      <c r="B71" s="22"/>
      <c r="M71" s="250"/>
    </row>
    <row r="72" spans="1:13" s="20" customFormat="1" ht="13.2" x14ac:dyDescent="0.25">
      <c r="A72" s="21"/>
      <c r="B72" s="22"/>
      <c r="M72" s="250"/>
    </row>
    <row r="88" spans="1:13" ht="23.25" customHeight="1" x14ac:dyDescent="0.3"/>
    <row r="89" spans="1:13" s="20" customFormat="1" ht="13.2" x14ac:dyDescent="0.25">
      <c r="A89" s="260"/>
      <c r="B89" s="260"/>
      <c r="C89" s="260"/>
      <c r="D89" s="260"/>
      <c r="E89" s="260"/>
      <c r="F89" s="260"/>
      <c r="G89" s="260"/>
      <c r="H89" s="260"/>
      <c r="I89" s="260"/>
      <c r="J89" s="260"/>
      <c r="K89" s="260"/>
      <c r="L89" s="260"/>
      <c r="M89" s="250"/>
    </row>
    <row r="90" spans="1:13" s="20" customFormat="1" ht="13.8" x14ac:dyDescent="0.25">
      <c r="A90" s="47"/>
      <c r="B90" s="47"/>
      <c r="C90" s="47"/>
      <c r="D90" s="47"/>
      <c r="E90" s="47"/>
      <c r="F90" s="47"/>
      <c r="G90" s="47"/>
      <c r="H90" s="47"/>
      <c r="I90" s="47"/>
      <c r="J90" s="47"/>
      <c r="M90" s="250"/>
    </row>
    <row r="91" spans="1:13" s="20" customFormat="1" ht="13.8" x14ac:dyDescent="0.25">
      <c r="A91" s="47"/>
      <c r="B91" s="47"/>
      <c r="C91" s="47"/>
      <c r="D91" s="47"/>
      <c r="E91" s="47"/>
      <c r="F91" s="47"/>
      <c r="G91" s="47"/>
      <c r="H91" s="47"/>
      <c r="I91" s="47"/>
      <c r="J91" s="47"/>
      <c r="M91" s="250"/>
    </row>
    <row r="1048565" ht="12.75" customHeight="1" x14ac:dyDescent="0.3"/>
    <row r="1048566" ht="12.75" customHeight="1" x14ac:dyDescent="0.3"/>
    <row r="1048567" ht="12.75" customHeight="1" x14ac:dyDescent="0.3"/>
    <row r="1048568" ht="12.75" customHeight="1" x14ac:dyDescent="0.3"/>
    <row r="1048569" ht="12.75" customHeight="1" x14ac:dyDescent="0.3"/>
    <row r="1048570" ht="12.75" customHeight="1" x14ac:dyDescent="0.3"/>
    <row r="1048571" ht="12.75" customHeight="1" x14ac:dyDescent="0.3"/>
    <row r="1048572" ht="12.75" customHeight="1" x14ac:dyDescent="0.3"/>
    <row r="1048573" ht="12.75" customHeight="1" x14ac:dyDescent="0.3"/>
    <row r="1048574" ht="12.75" customHeight="1" x14ac:dyDescent="0.3"/>
    <row r="1048575" ht="12.75" customHeight="1" x14ac:dyDescent="0.3"/>
  </sheetData>
  <mergeCells count="8">
    <mergeCell ref="A22:E22"/>
    <mergeCell ref="A89:L89"/>
    <mergeCell ref="A23:E28"/>
    <mergeCell ref="A1:L1"/>
    <mergeCell ref="A2:L2"/>
    <mergeCell ref="A3:L3"/>
    <mergeCell ref="A20:L20"/>
    <mergeCell ref="A21:L21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 r:id="rId1"/>
  <ignoredErrors>
    <ignoredError sqref="D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P101"/>
  <sheetViews>
    <sheetView showGridLines="0" tabSelected="1" zoomScaleNormal="100" workbookViewId="0">
      <pane xSplit="2" ySplit="14" topLeftCell="C70" activePane="bottomRight" state="frozen"/>
      <selection pane="topRight" activeCell="C1" sqref="C1"/>
      <selection pane="bottomLeft" activeCell="A15" sqref="A15"/>
      <selection pane="bottomRight" activeCell="D10" sqref="D10"/>
    </sheetView>
  </sheetViews>
  <sheetFormatPr defaultColWidth="11.5546875" defaultRowHeight="12" outlineLevelRow="1" outlineLevelCol="1" x14ac:dyDescent="0.3"/>
  <cols>
    <col min="1" max="1" width="3" style="114" customWidth="1"/>
    <col min="2" max="2" width="37.88671875" style="115" customWidth="1"/>
    <col min="3" max="3" width="10.5546875" style="115" customWidth="1" outlineLevel="1"/>
    <col min="4" max="14" width="11" style="115" customWidth="1" outlineLevel="1"/>
    <col min="15" max="15" width="11.88671875" style="116" bestFit="1" customWidth="1"/>
    <col min="16" max="16" width="1.6640625" style="172" customWidth="1"/>
    <col min="17" max="16384" width="11.5546875" style="114"/>
  </cols>
  <sheetData>
    <row r="1" spans="2:16" x14ac:dyDescent="0.3"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</row>
    <row r="2" spans="2:16" ht="8.25" customHeight="1" thickBot="1" x14ac:dyDescent="0.35"/>
    <row r="3" spans="2:16" ht="12.6" thickBot="1" x14ac:dyDescent="0.35">
      <c r="B3" s="267" t="s">
        <v>37</v>
      </c>
      <c r="C3" s="268">
        <v>2016</v>
      </c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173"/>
    </row>
    <row r="4" spans="2:16" ht="12.6" thickBot="1" x14ac:dyDescent="0.35">
      <c r="B4" s="267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173"/>
    </row>
    <row r="5" spans="2:16" ht="12.6" thickBot="1" x14ac:dyDescent="0.35">
      <c r="B5" s="202"/>
      <c r="C5" s="117" t="s">
        <v>1566</v>
      </c>
      <c r="D5" s="117" t="s">
        <v>1567</v>
      </c>
      <c r="E5" s="117" t="s">
        <v>1568</v>
      </c>
      <c r="F5" s="117" t="s">
        <v>1569</v>
      </c>
      <c r="G5" s="117" t="s">
        <v>1570</v>
      </c>
      <c r="H5" s="117" t="s">
        <v>1571</v>
      </c>
      <c r="I5" s="117" t="s">
        <v>1572</v>
      </c>
      <c r="J5" s="117" t="s">
        <v>1573</v>
      </c>
      <c r="K5" s="117" t="s">
        <v>1574</v>
      </c>
      <c r="L5" s="117" t="s">
        <v>1575</v>
      </c>
      <c r="M5" s="117" t="s">
        <v>1576</v>
      </c>
      <c r="N5" s="117" t="s">
        <v>1577</v>
      </c>
      <c r="O5" s="193"/>
      <c r="P5" s="173"/>
    </row>
    <row r="6" spans="2:16" ht="12.6" thickBot="1" x14ac:dyDescent="0.35">
      <c r="B6" s="203"/>
      <c r="C6" s="118" t="s">
        <v>1578</v>
      </c>
      <c r="D6" s="118" t="s">
        <v>1579</v>
      </c>
      <c r="E6" s="118" t="s">
        <v>1580</v>
      </c>
      <c r="F6" s="118" t="s">
        <v>1581</v>
      </c>
      <c r="G6" s="118" t="s">
        <v>1582</v>
      </c>
      <c r="H6" s="118" t="s">
        <v>1583</v>
      </c>
      <c r="I6" s="118" t="s">
        <v>1584</v>
      </c>
      <c r="J6" s="118" t="s">
        <v>1585</v>
      </c>
      <c r="K6" s="118" t="s">
        <v>1586</v>
      </c>
      <c r="L6" s="118" t="s">
        <v>1587</v>
      </c>
      <c r="M6" s="118" t="s">
        <v>1588</v>
      </c>
      <c r="N6" s="118" t="s">
        <v>1589</v>
      </c>
      <c r="O6" s="194" t="s">
        <v>30</v>
      </c>
      <c r="P6" s="173"/>
    </row>
    <row r="7" spans="2:16" x14ac:dyDescent="0.3">
      <c r="B7" s="204" t="s">
        <v>50</v>
      </c>
      <c r="C7" s="120"/>
      <c r="D7" s="121"/>
      <c r="E7" s="121"/>
      <c r="F7" s="122"/>
      <c r="G7" s="121"/>
      <c r="H7" s="121"/>
      <c r="I7" s="121"/>
      <c r="J7" s="121"/>
      <c r="K7" s="121"/>
      <c r="L7" s="121"/>
      <c r="M7" s="121"/>
      <c r="N7" s="188"/>
      <c r="O7" s="195"/>
      <c r="P7" s="174"/>
    </row>
    <row r="8" spans="2:16" outlineLevel="1" x14ac:dyDescent="0.3">
      <c r="B8" s="205" t="s">
        <v>51</v>
      </c>
      <c r="C8" s="123">
        <f>'HEELJ - Saldos Bancários'!E9</f>
        <v>150</v>
      </c>
      <c r="D8" s="123">
        <f>'HEELJ - Saldos Bancários'!F9</f>
        <v>99.4</v>
      </c>
      <c r="E8" s="123">
        <f>'HEELJ - Saldos Bancários'!G9</f>
        <v>391.51</v>
      </c>
      <c r="F8" s="123">
        <f>'HEELJ - Saldos Bancários'!H9</f>
        <v>277700.23</v>
      </c>
      <c r="G8" s="123">
        <f>'HEELJ - Saldos Bancários'!I9</f>
        <v>102781.48</v>
      </c>
      <c r="H8" s="123">
        <f>'HEELJ - Saldos Bancários'!J9</f>
        <v>243273.36</v>
      </c>
      <c r="I8" s="123">
        <f>'HEELJ - Saldos Bancários'!K9</f>
        <v>265.01</v>
      </c>
      <c r="J8" s="123">
        <f>'HEELJ - Saldos Bancários'!L9</f>
        <v>239.70999999999998</v>
      </c>
      <c r="K8" s="123">
        <f>'HEELJ - Saldos Bancários'!M9</f>
        <v>0</v>
      </c>
      <c r="L8" s="123">
        <f>'HEELJ - Saldos Bancários'!N9</f>
        <v>0</v>
      </c>
      <c r="M8" s="123">
        <f>'HEELJ - Saldos Bancários'!O9</f>
        <v>0</v>
      </c>
      <c r="N8" s="189">
        <f>'HEELJ - Saldos Bancários'!P9</f>
        <v>0</v>
      </c>
      <c r="O8" s="200">
        <f>N8</f>
        <v>0</v>
      </c>
      <c r="P8" s="175"/>
    </row>
    <row r="9" spans="2:16" outlineLevel="1" x14ac:dyDescent="0.3">
      <c r="B9" s="205" t="s">
        <v>52</v>
      </c>
      <c r="C9" s="123">
        <f>'HEELJ - Saldos Bancários'!E19</f>
        <v>196484.15</v>
      </c>
      <c r="D9" s="123">
        <f>'HEELJ - Saldos Bancários'!F19</f>
        <v>147744.84</v>
      </c>
      <c r="E9" s="123">
        <f>'HEELJ - Saldos Bancários'!G19</f>
        <v>403446.74</v>
      </c>
      <c r="F9" s="123">
        <f>'HEELJ - Saldos Bancários'!H19</f>
        <v>139105.32</v>
      </c>
      <c r="G9" s="123">
        <f>'HEELJ - Saldos Bancários'!I19</f>
        <v>58130.37</v>
      </c>
      <c r="H9" s="123">
        <f>'HEELJ - Saldos Bancários'!J19</f>
        <v>23930.880000000001</v>
      </c>
      <c r="I9" s="123">
        <f>'HEELJ - Saldos Bancários'!K19</f>
        <v>388279.76</v>
      </c>
      <c r="J9" s="123">
        <f>'HEELJ - Saldos Bancários'!L19</f>
        <v>272231.81</v>
      </c>
      <c r="K9" s="123">
        <f>'HEELJ - Saldos Bancários'!M19</f>
        <v>0</v>
      </c>
      <c r="L9" s="123">
        <f>'HEELJ - Saldos Bancários'!N19</f>
        <v>0</v>
      </c>
      <c r="M9" s="123">
        <f>'HEELJ - Saldos Bancários'!O19</f>
        <v>0</v>
      </c>
      <c r="N9" s="189">
        <f>'HEELJ - Saldos Bancários'!P19</f>
        <v>0</v>
      </c>
      <c r="O9" s="200">
        <f t="shared" ref="O9:O13" si="0">N9</f>
        <v>0</v>
      </c>
      <c r="P9" s="175"/>
    </row>
    <row r="10" spans="2:16" outlineLevel="1" x14ac:dyDescent="0.3">
      <c r="B10" s="205" t="s">
        <v>53</v>
      </c>
      <c r="C10" s="123">
        <v>0</v>
      </c>
      <c r="D10" s="124">
        <v>0</v>
      </c>
      <c r="E10" s="124">
        <v>0</v>
      </c>
      <c r="F10" s="124">
        <v>0</v>
      </c>
      <c r="G10" s="124">
        <v>0</v>
      </c>
      <c r="H10" s="124">
        <v>0</v>
      </c>
      <c r="I10" s="124">
        <v>0</v>
      </c>
      <c r="J10" s="124">
        <v>0</v>
      </c>
      <c r="K10" s="124">
        <v>0</v>
      </c>
      <c r="L10" s="124">
        <v>0</v>
      </c>
      <c r="M10" s="124">
        <v>0</v>
      </c>
      <c r="N10" s="167">
        <v>0</v>
      </c>
      <c r="O10" s="200">
        <f t="shared" si="0"/>
        <v>0</v>
      </c>
      <c r="P10" s="175"/>
    </row>
    <row r="11" spans="2:16" outlineLevel="1" x14ac:dyDescent="0.3">
      <c r="B11" s="205" t="s">
        <v>54</v>
      </c>
      <c r="C11" s="123">
        <v>3701.4399999995949</v>
      </c>
      <c r="D11" s="124">
        <v>0</v>
      </c>
      <c r="E11" s="124">
        <v>0</v>
      </c>
      <c r="F11" s="124">
        <v>0</v>
      </c>
      <c r="G11" s="124">
        <v>0</v>
      </c>
      <c r="H11" s="124">
        <v>0</v>
      </c>
      <c r="I11" s="124">
        <v>0</v>
      </c>
      <c r="J11" s="124">
        <v>0</v>
      </c>
      <c r="K11" s="124">
        <v>0</v>
      </c>
      <c r="L11" s="124">
        <v>0</v>
      </c>
      <c r="M11" s="124">
        <v>0</v>
      </c>
      <c r="N11" s="167">
        <v>0</v>
      </c>
      <c r="O11" s="200">
        <f t="shared" si="0"/>
        <v>0</v>
      </c>
      <c r="P11" s="175"/>
    </row>
    <row r="12" spans="2:16" outlineLevel="1" x14ac:dyDescent="0.3">
      <c r="B12" s="205" t="s">
        <v>55</v>
      </c>
      <c r="C12" s="123">
        <v>0</v>
      </c>
      <c r="D12" s="124">
        <v>0</v>
      </c>
      <c r="E12" s="124">
        <v>0</v>
      </c>
      <c r="F12" s="124">
        <v>0</v>
      </c>
      <c r="G12" s="124">
        <v>0</v>
      </c>
      <c r="H12" s="124">
        <v>0</v>
      </c>
      <c r="I12" s="124">
        <v>0</v>
      </c>
      <c r="J12" s="124">
        <v>0</v>
      </c>
      <c r="K12" s="124">
        <v>0</v>
      </c>
      <c r="L12" s="124">
        <v>0</v>
      </c>
      <c r="M12" s="124">
        <v>0</v>
      </c>
      <c r="N12" s="167">
        <v>0</v>
      </c>
      <c r="O12" s="200">
        <f t="shared" si="0"/>
        <v>0</v>
      </c>
      <c r="P12" s="175"/>
    </row>
    <row r="13" spans="2:16" outlineLevel="1" x14ac:dyDescent="0.3">
      <c r="B13" s="205"/>
      <c r="C13" s="123">
        <v>0</v>
      </c>
      <c r="D13" s="124">
        <v>0</v>
      </c>
      <c r="E13" s="124">
        <v>0</v>
      </c>
      <c r="F13" s="124">
        <v>0</v>
      </c>
      <c r="G13" s="124">
        <v>0</v>
      </c>
      <c r="H13" s="124">
        <v>0</v>
      </c>
      <c r="I13" s="124">
        <v>0</v>
      </c>
      <c r="J13" s="124">
        <v>0</v>
      </c>
      <c r="K13" s="124">
        <v>0</v>
      </c>
      <c r="L13" s="124">
        <v>0</v>
      </c>
      <c r="M13" s="124">
        <v>0</v>
      </c>
      <c r="N13" s="167">
        <v>0</v>
      </c>
      <c r="O13" s="200">
        <f t="shared" si="0"/>
        <v>0</v>
      </c>
      <c r="P13" s="175"/>
    </row>
    <row r="14" spans="2:16" s="116" customFormat="1" x14ac:dyDescent="0.3">
      <c r="B14" s="206" t="s">
        <v>56</v>
      </c>
      <c r="C14" s="126">
        <f t="shared" ref="C14:O14" si="1">SUM(C7:C13)</f>
        <v>200335.58999999959</v>
      </c>
      <c r="D14" s="127">
        <f t="shared" si="1"/>
        <v>147844.24</v>
      </c>
      <c r="E14" s="127">
        <f t="shared" si="1"/>
        <v>403838.25</v>
      </c>
      <c r="F14" s="127">
        <f t="shared" si="1"/>
        <v>416805.55</v>
      </c>
      <c r="G14" s="127">
        <f t="shared" si="1"/>
        <v>160911.85</v>
      </c>
      <c r="H14" s="127">
        <f t="shared" si="1"/>
        <v>267204.24</v>
      </c>
      <c r="I14" s="127">
        <f t="shared" si="1"/>
        <v>388544.77</v>
      </c>
      <c r="J14" s="127">
        <f t="shared" si="1"/>
        <v>272471.52</v>
      </c>
      <c r="K14" s="127">
        <f t="shared" si="1"/>
        <v>0</v>
      </c>
      <c r="L14" s="127">
        <f t="shared" si="1"/>
        <v>0</v>
      </c>
      <c r="M14" s="127">
        <f t="shared" si="1"/>
        <v>0</v>
      </c>
      <c r="N14" s="168">
        <f t="shared" si="1"/>
        <v>0</v>
      </c>
      <c r="O14" s="196">
        <f t="shared" si="1"/>
        <v>0</v>
      </c>
      <c r="P14" s="176"/>
    </row>
    <row r="15" spans="2:16" x14ac:dyDescent="0.3">
      <c r="B15" s="207"/>
      <c r="C15" s="265" t="s">
        <v>57</v>
      </c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6"/>
      <c r="O15" s="197"/>
      <c r="P15" s="177"/>
    </row>
    <row r="16" spans="2:16" x14ac:dyDescent="0.3">
      <c r="B16" s="204" t="s">
        <v>58</v>
      </c>
      <c r="C16" s="182" t="s">
        <v>38</v>
      </c>
      <c r="D16" s="119" t="s">
        <v>39</v>
      </c>
      <c r="E16" s="119" t="s">
        <v>40</v>
      </c>
      <c r="F16" s="119" t="s">
        <v>41</v>
      </c>
      <c r="G16" s="119" t="s">
        <v>42</v>
      </c>
      <c r="H16" s="119" t="s">
        <v>43</v>
      </c>
      <c r="I16" s="119" t="s">
        <v>44</v>
      </c>
      <c r="J16" s="119" t="s">
        <v>45</v>
      </c>
      <c r="K16" s="119" t="s">
        <v>46</v>
      </c>
      <c r="L16" s="119" t="s">
        <v>47</v>
      </c>
      <c r="M16" s="119" t="s">
        <v>48</v>
      </c>
      <c r="N16" s="190" t="s">
        <v>49</v>
      </c>
      <c r="O16" s="198" t="s">
        <v>30</v>
      </c>
      <c r="P16" s="175"/>
    </row>
    <row r="17" spans="2:16" s="116" customFormat="1" outlineLevel="1" x14ac:dyDescent="0.3">
      <c r="B17" s="205" t="s">
        <v>59</v>
      </c>
      <c r="C17" s="123">
        <f>SUMIFS('Conciliação Bancária 2016.17.18'!$J:$J,'Conciliação Bancária 2016.17.18'!$K:$K,'Base -Receita-Despesa'!$B17,'Conciliação Bancária 2016.17.18'!$D:$D,'Base -Receita-Despesa'!C$5)</f>
        <v>669839.92000000004</v>
      </c>
      <c r="D17" s="123">
        <f>SUMIFS('Conciliação Bancária 2016.17.18'!$J:$J,'Conciliação Bancária 2016.17.18'!$K:$K,'Base -Receita-Despesa'!$B17,'Conciliação Bancária 2016.17.18'!$D:$D,'Base -Receita-Despesa'!D$5)</f>
        <v>1530653.51</v>
      </c>
      <c r="E17" s="123">
        <f>SUMIFS('Conciliação Bancária 2016.17.18'!$J:$J,'Conciliação Bancária 2016.17.18'!$K:$K,'Base -Receita-Despesa'!$B17,'Conciliação Bancária 2016.17.18'!$D:$D,'Base -Receita-Despesa'!E$5)</f>
        <v>1056085.3999999999</v>
      </c>
      <c r="F17" s="123">
        <f>SUMIFS('Conciliação Bancária 2016.17.18'!$J:$J,'Conciliação Bancária 2016.17.18'!$K:$K,'Base -Receita-Despesa'!$B17,'Conciliação Bancária 2016.17.18'!$D:$D,'Base -Receita-Despesa'!F$5)</f>
        <v>883424.51</v>
      </c>
      <c r="G17" s="123">
        <f>SUMIFS('Conciliação Bancária 2016.17.18'!$J:$J,'Conciliação Bancária 2016.17.18'!$K:$K,'Base -Receita-Despesa'!$B17,'Conciliação Bancária 2016.17.18'!$D:$D,'Base -Receita-Despesa'!G$5)</f>
        <v>1691183.78</v>
      </c>
      <c r="H17" s="123">
        <f>SUMIFS('Conciliação Bancária 2016.17.18'!$J:$J,'Conciliação Bancária 2016.17.18'!$K:$K,'Base -Receita-Despesa'!$B17,'Conciliação Bancária 2016.17.18'!$D:$D,'Base -Receita-Despesa'!H$5)</f>
        <v>1354012.59</v>
      </c>
      <c r="I17" s="123">
        <f>SUMIFS('Conciliação Bancária 2016.17.18'!$J:$J,'Conciliação Bancária 2016.17.18'!$K:$K,'Base -Receita-Despesa'!$B17,'Conciliação Bancária 2016.17.18'!$D:$D,'Base -Receita-Despesa'!I$5)</f>
        <v>1247122.6500000001</v>
      </c>
      <c r="J17" s="123">
        <f>SUMIFS('Conciliação Bancária 2016.17.18'!$J:$J,'Conciliação Bancária 2016.17.18'!$K:$K,'Base -Receita-Despesa'!$B17,'Conciliação Bancária 2016.17.18'!$D:$D,'Base -Receita-Despesa'!J$5)</f>
        <v>1031176.1699999999</v>
      </c>
      <c r="K17" s="123">
        <f>SUMIFS('Conciliação Bancária 2016.17.18'!$J:$J,'Conciliação Bancária 2016.17.18'!$K:$K,'Base -Receita-Despesa'!$B17,'Conciliação Bancária 2016.17.18'!$D:$D,'Base -Receita-Despesa'!K$5)</f>
        <v>0</v>
      </c>
      <c r="L17" s="123">
        <f>SUMIFS('Conciliação Bancária 2016.17.18'!$J:$J,'Conciliação Bancária 2016.17.18'!$K:$K,'Base -Receita-Despesa'!$B17,'Conciliação Bancária 2016.17.18'!$D:$D,'Base -Receita-Despesa'!L$5)</f>
        <v>0</v>
      </c>
      <c r="M17" s="123">
        <f>SUMIFS('Conciliação Bancária 2016.17.18'!$J:$J,'Conciliação Bancária 2016.17.18'!$K:$K,'Base -Receita-Despesa'!$B17,'Conciliação Bancária 2016.17.18'!$D:$D,'Base -Receita-Despesa'!M$5)</f>
        <v>0</v>
      </c>
      <c r="N17" s="189">
        <f>SUMIFS('Conciliação Bancária 2016.17.18'!$J:$J,'Conciliação Bancária 2016.17.18'!$K:$K,'Base -Receita-Despesa'!$B17,'Conciliação Bancária 2016.17.18'!$D:$D,'Base -Receita-Despesa'!N$5)</f>
        <v>0</v>
      </c>
      <c r="O17" s="200">
        <f t="shared" ref="O17:O22" si="2">SUM(C17:N17)</f>
        <v>9463498.5299999993</v>
      </c>
      <c r="P17" s="175"/>
    </row>
    <row r="18" spans="2:16" outlineLevel="1" x14ac:dyDescent="0.3">
      <c r="B18" s="205" t="s">
        <v>60</v>
      </c>
      <c r="C18" s="123">
        <f>SUMIFS('Conciliação Bancária 2016.17.18'!$J:$J,'Conciliação Bancária 2016.17.18'!$K:$K,'Base -Receita-Despesa'!$B18,'Conciliação Bancária 2016.17.18'!$D:$D,'Base -Receita-Despesa'!C$5)</f>
        <v>924.1</v>
      </c>
      <c r="D18" s="123">
        <f>SUMIFS('Conciliação Bancária 2016.17.18'!$J:$J,'Conciliação Bancária 2016.17.18'!$K:$K,'Base -Receita-Despesa'!$B18,'Conciliação Bancária 2016.17.18'!$D:$D,'Base -Receita-Despesa'!D$5)</f>
        <v>1821.84</v>
      </c>
      <c r="E18" s="123">
        <f>SUMIFS('Conciliação Bancária 2016.17.18'!$J:$J,'Conciliação Bancária 2016.17.18'!$K:$K,'Base -Receita-Despesa'!$B18,'Conciliação Bancária 2016.17.18'!$D:$D,'Base -Receita-Despesa'!E$5)</f>
        <v>710.26</v>
      </c>
      <c r="F18" s="123">
        <f>SUMIFS('Conciliação Bancária 2016.17.18'!$J:$J,'Conciliação Bancária 2016.17.18'!$K:$K,'Base -Receita-Despesa'!$B18,'Conciliação Bancária 2016.17.18'!$D:$D,'Base -Receita-Despesa'!F$5)</f>
        <v>74.59</v>
      </c>
      <c r="G18" s="123">
        <f>SUMIFS('Conciliação Bancária 2016.17.18'!$J:$J,'Conciliação Bancária 2016.17.18'!$K:$K,'Base -Receita-Despesa'!$B18,'Conciliação Bancária 2016.17.18'!$D:$D,'Base -Receita-Despesa'!G$5)</f>
        <v>144.05000000000013</v>
      </c>
      <c r="H18" s="123">
        <f>SUMIFS('Conciliação Bancária 2016.17.18'!$J:$J,'Conciliação Bancária 2016.17.18'!$K:$K,'Base -Receita-Despesa'!$B18,'Conciliação Bancária 2016.17.18'!$D:$D,'Base -Receita-Despesa'!H$5)</f>
        <v>1743.38</v>
      </c>
      <c r="I18" s="123">
        <f>SUMIFS('Conciliação Bancária 2016.17.18'!$J:$J,'Conciliação Bancária 2016.17.18'!$K:$K,'Base -Receita-Despesa'!$B18,'Conciliação Bancária 2016.17.18'!$D:$D,'Base -Receita-Despesa'!I$5)</f>
        <v>-306.78999999999991</v>
      </c>
      <c r="J18" s="123">
        <f>SUMIFS('Conciliação Bancária 2016.17.18'!$J:$J,'Conciliação Bancária 2016.17.18'!$K:$K,'Base -Receita-Despesa'!$B18,'Conciliação Bancária 2016.17.18'!$D:$D,'Base -Receita-Despesa'!J$5)</f>
        <v>656.49999999999989</v>
      </c>
      <c r="K18" s="123">
        <f>SUMIFS('Conciliação Bancária 2016.17.18'!$J:$J,'Conciliação Bancária 2016.17.18'!$K:$K,'Base -Receita-Despesa'!$B18,'Conciliação Bancária 2016.17.18'!$D:$D,'Base -Receita-Despesa'!K$5)</f>
        <v>0</v>
      </c>
      <c r="L18" s="123">
        <f>SUMIFS('Conciliação Bancária 2016.17.18'!$J:$J,'Conciliação Bancária 2016.17.18'!$K:$K,'Base -Receita-Despesa'!$B18,'Conciliação Bancária 2016.17.18'!$D:$D,'Base -Receita-Despesa'!L$5)</f>
        <v>0</v>
      </c>
      <c r="M18" s="123">
        <f>SUMIFS('Conciliação Bancária 2016.17.18'!$J:$J,'Conciliação Bancária 2016.17.18'!$K:$K,'Base -Receita-Despesa'!$B18,'Conciliação Bancária 2016.17.18'!$D:$D,'Base -Receita-Despesa'!M$5)</f>
        <v>0</v>
      </c>
      <c r="N18" s="189">
        <f>SUMIFS('Conciliação Bancária 2016.17.18'!$J:$J,'Conciliação Bancária 2016.17.18'!$K:$K,'Base -Receita-Despesa'!$B18,'Conciliação Bancária 2016.17.18'!$D:$D,'Base -Receita-Despesa'!N$5)</f>
        <v>0</v>
      </c>
      <c r="O18" s="200">
        <f t="shared" si="2"/>
        <v>5767.93</v>
      </c>
      <c r="P18" s="175"/>
    </row>
    <row r="19" spans="2:16" outlineLevel="1" x14ac:dyDescent="0.3">
      <c r="B19" s="205" t="s">
        <v>61</v>
      </c>
      <c r="C19" s="123">
        <f>SUMIFS('Conciliação Bancária 2016.17.18'!$J:$J,'Conciliação Bancária 2016.17.18'!$K:$K,'Base -Receita-Despesa'!$B19,'Conciliação Bancária 2016.17.18'!$D:$D,'Base -Receita-Despesa'!C$5)</f>
        <v>0</v>
      </c>
      <c r="D19" s="123">
        <f>SUMIFS('Conciliação Bancária 2016.17.18'!$J:$J,'Conciliação Bancária 2016.17.18'!$K:$K,'Base -Receita-Despesa'!$B19,'Conciliação Bancária 2016.17.18'!$D:$D,'Base -Receita-Despesa'!D$5)</f>
        <v>0</v>
      </c>
      <c r="E19" s="123">
        <f>SUMIFS('Conciliação Bancária 2016.17.18'!$J:$J,'Conciliação Bancária 2016.17.18'!$K:$K,'Base -Receita-Despesa'!$B19,'Conciliação Bancária 2016.17.18'!$D:$D,'Base -Receita-Despesa'!E$5)</f>
        <v>0</v>
      </c>
      <c r="F19" s="123">
        <f>SUMIFS('Conciliação Bancária 2016.17.18'!$J:$J,'Conciliação Bancária 2016.17.18'!$K:$K,'Base -Receita-Despesa'!$B19,'Conciliação Bancária 2016.17.18'!$D:$D,'Base -Receita-Despesa'!F$5)</f>
        <v>0</v>
      </c>
      <c r="G19" s="123">
        <f>SUMIFS('Conciliação Bancária 2016.17.18'!$J:$J,'Conciliação Bancária 2016.17.18'!$K:$K,'Base -Receita-Despesa'!$B19,'Conciliação Bancária 2016.17.18'!$D:$D,'Base -Receita-Despesa'!G$5)</f>
        <v>0</v>
      </c>
      <c r="H19" s="123">
        <f>SUMIFS('Conciliação Bancária 2016.17.18'!$J:$J,'Conciliação Bancária 2016.17.18'!$K:$K,'Base -Receita-Despesa'!$B19,'Conciliação Bancária 2016.17.18'!$D:$D,'Base -Receita-Despesa'!H$5)</f>
        <v>0</v>
      </c>
      <c r="I19" s="123">
        <f>SUMIFS('Conciliação Bancária 2016.17.18'!$J:$J,'Conciliação Bancária 2016.17.18'!$K:$K,'Base -Receita-Despesa'!$B19,'Conciliação Bancária 2016.17.18'!$D:$D,'Base -Receita-Despesa'!I$5)</f>
        <v>0</v>
      </c>
      <c r="J19" s="123">
        <f>SUMIFS('Conciliação Bancária 2016.17.18'!$J:$J,'Conciliação Bancária 2016.17.18'!$K:$K,'Base -Receita-Despesa'!$B19,'Conciliação Bancária 2016.17.18'!$D:$D,'Base -Receita-Despesa'!J$5)</f>
        <v>0</v>
      </c>
      <c r="K19" s="123">
        <f>SUMIFS('Conciliação Bancária 2016.17.18'!$J:$J,'Conciliação Bancária 2016.17.18'!$K:$K,'Base -Receita-Despesa'!$B19,'Conciliação Bancária 2016.17.18'!$D:$D,'Base -Receita-Despesa'!K$5)</f>
        <v>0</v>
      </c>
      <c r="L19" s="123">
        <f>SUMIFS('Conciliação Bancária 2016.17.18'!$J:$J,'Conciliação Bancária 2016.17.18'!$K:$K,'Base -Receita-Despesa'!$B19,'Conciliação Bancária 2016.17.18'!$D:$D,'Base -Receita-Despesa'!L$5)</f>
        <v>0</v>
      </c>
      <c r="M19" s="123">
        <f>SUMIFS('Conciliação Bancária 2016.17.18'!$J:$J,'Conciliação Bancária 2016.17.18'!$K:$K,'Base -Receita-Despesa'!$B19,'Conciliação Bancária 2016.17.18'!$D:$D,'Base -Receita-Despesa'!M$5)</f>
        <v>0</v>
      </c>
      <c r="N19" s="189">
        <f>SUMIFS('Conciliação Bancária 2016.17.18'!$J:$J,'Conciliação Bancária 2016.17.18'!$K:$K,'Base -Receita-Despesa'!$B19,'Conciliação Bancária 2016.17.18'!$D:$D,'Base -Receita-Despesa'!N$5)</f>
        <v>0</v>
      </c>
      <c r="O19" s="200">
        <f t="shared" si="2"/>
        <v>0</v>
      </c>
      <c r="P19" s="175"/>
    </row>
    <row r="20" spans="2:16" outlineLevel="1" x14ac:dyDescent="0.3">
      <c r="B20" s="205" t="s">
        <v>62</v>
      </c>
      <c r="C20" s="123">
        <f>SUMIFS('Conciliação Bancária 2016.17.18'!$J:$J,'Conciliação Bancária 2016.17.18'!$K:$K,'Base -Receita-Despesa'!$B20,'Conciliação Bancária 2016.17.18'!$D:$D,'Base -Receita-Despesa'!C$5)</f>
        <v>0</v>
      </c>
      <c r="D20" s="123">
        <f>SUMIFS('Conciliação Bancária 2016.17.18'!$J:$J,'Conciliação Bancária 2016.17.18'!$K:$K,'Base -Receita-Despesa'!$B20,'Conciliação Bancária 2016.17.18'!$D:$D,'Base -Receita-Despesa'!D$5)</f>
        <v>0</v>
      </c>
      <c r="E20" s="123">
        <f>SUMIFS('Conciliação Bancária 2016.17.18'!$J:$J,'Conciliação Bancária 2016.17.18'!$K:$K,'Base -Receita-Despesa'!$B20,'Conciliação Bancária 2016.17.18'!$D:$D,'Base -Receita-Despesa'!E$5)</f>
        <v>0</v>
      </c>
      <c r="F20" s="123">
        <f>SUMIFS('Conciliação Bancária 2016.17.18'!$J:$J,'Conciliação Bancária 2016.17.18'!$K:$K,'Base -Receita-Despesa'!$B20,'Conciliação Bancária 2016.17.18'!$D:$D,'Base -Receita-Despesa'!F$5)</f>
        <v>0</v>
      </c>
      <c r="G20" s="123">
        <f>SUMIFS('Conciliação Bancária 2016.17.18'!$J:$J,'Conciliação Bancária 2016.17.18'!$K:$K,'Base -Receita-Despesa'!$B20,'Conciliação Bancária 2016.17.18'!$D:$D,'Base -Receita-Despesa'!G$5)</f>
        <v>0</v>
      </c>
      <c r="H20" s="123">
        <f>SUMIFS('Conciliação Bancária 2016.17.18'!$J:$J,'Conciliação Bancária 2016.17.18'!$K:$K,'Base -Receita-Despesa'!$B20,'Conciliação Bancária 2016.17.18'!$D:$D,'Base -Receita-Despesa'!H$5)</f>
        <v>0</v>
      </c>
      <c r="I20" s="123">
        <f>SUMIFS('Conciliação Bancária 2016.17.18'!$J:$J,'Conciliação Bancária 2016.17.18'!$K:$K,'Base -Receita-Despesa'!$B20,'Conciliação Bancária 2016.17.18'!$D:$D,'Base -Receita-Despesa'!I$5)</f>
        <v>0</v>
      </c>
      <c r="J20" s="123">
        <f>SUMIFS('Conciliação Bancária 2016.17.18'!$J:$J,'Conciliação Bancária 2016.17.18'!$K:$K,'Base -Receita-Despesa'!$B20,'Conciliação Bancária 2016.17.18'!$D:$D,'Base -Receita-Despesa'!J$5)</f>
        <v>0</v>
      </c>
      <c r="K20" s="123">
        <f>SUMIFS('Conciliação Bancária 2016.17.18'!$J:$J,'Conciliação Bancária 2016.17.18'!$K:$K,'Base -Receita-Despesa'!$B20,'Conciliação Bancária 2016.17.18'!$D:$D,'Base -Receita-Despesa'!K$5)</f>
        <v>0</v>
      </c>
      <c r="L20" s="123">
        <f>SUMIFS('Conciliação Bancária 2016.17.18'!$J:$J,'Conciliação Bancária 2016.17.18'!$K:$K,'Base -Receita-Despesa'!$B20,'Conciliação Bancária 2016.17.18'!$D:$D,'Base -Receita-Despesa'!L$5)</f>
        <v>0</v>
      </c>
      <c r="M20" s="123">
        <f>SUMIFS('Conciliação Bancária 2016.17.18'!$J:$J,'Conciliação Bancária 2016.17.18'!$K:$K,'Base -Receita-Despesa'!$B20,'Conciliação Bancária 2016.17.18'!$D:$D,'Base -Receita-Despesa'!M$5)</f>
        <v>0</v>
      </c>
      <c r="N20" s="189">
        <f>SUMIFS('Conciliação Bancária 2016.17.18'!$J:$J,'Conciliação Bancária 2016.17.18'!$K:$K,'Base -Receita-Despesa'!$B20,'Conciliação Bancária 2016.17.18'!$D:$D,'Base -Receita-Despesa'!N$5)</f>
        <v>0</v>
      </c>
      <c r="O20" s="200">
        <f t="shared" si="2"/>
        <v>0</v>
      </c>
      <c r="P20" s="175"/>
    </row>
    <row r="21" spans="2:16" outlineLevel="1" x14ac:dyDescent="0.3">
      <c r="B21" s="205" t="s">
        <v>63</v>
      </c>
      <c r="C21" s="123">
        <f>SUMIFS('Conciliação Bancária 2016.17.18'!$J:$J,'Conciliação Bancária 2016.17.18'!$K:$K,'Base -Receita-Despesa'!$B21,'Conciliação Bancária 2016.17.18'!$D:$D,'Base -Receita-Despesa'!C$5)</f>
        <v>0</v>
      </c>
      <c r="D21" s="123">
        <f>SUMIFS('Conciliação Bancária 2016.17.18'!$J:$J,'Conciliação Bancária 2016.17.18'!$K:$K,'Base -Receita-Despesa'!$B21,'Conciliação Bancária 2016.17.18'!$D:$D,'Base -Receita-Despesa'!D$5)</f>
        <v>0</v>
      </c>
      <c r="E21" s="123">
        <f>SUMIFS('Conciliação Bancária 2016.17.18'!$J:$J,'Conciliação Bancária 2016.17.18'!$K:$K,'Base -Receita-Despesa'!$B21,'Conciliação Bancária 2016.17.18'!$D:$D,'Base -Receita-Despesa'!E$5)</f>
        <v>0</v>
      </c>
      <c r="F21" s="123">
        <f>SUMIFS('Conciliação Bancária 2016.17.18'!$J:$J,'Conciliação Bancária 2016.17.18'!$K:$K,'Base -Receita-Despesa'!$B21,'Conciliação Bancária 2016.17.18'!$D:$D,'Base -Receita-Despesa'!F$5)</f>
        <v>0</v>
      </c>
      <c r="G21" s="123">
        <f>SUMIFS('Conciliação Bancária 2016.17.18'!$J:$J,'Conciliação Bancária 2016.17.18'!$K:$K,'Base -Receita-Despesa'!$B21,'Conciliação Bancária 2016.17.18'!$D:$D,'Base -Receita-Despesa'!G$5)</f>
        <v>0</v>
      </c>
      <c r="H21" s="123">
        <f>SUMIFS('Conciliação Bancária 2016.17.18'!$J:$J,'Conciliação Bancária 2016.17.18'!$K:$K,'Base -Receita-Despesa'!$B21,'Conciliação Bancária 2016.17.18'!$D:$D,'Base -Receita-Despesa'!H$5)</f>
        <v>0</v>
      </c>
      <c r="I21" s="123">
        <f>SUMIFS('Conciliação Bancária 2016.17.18'!$J:$J,'Conciliação Bancária 2016.17.18'!$K:$K,'Base -Receita-Despesa'!$B21,'Conciliação Bancária 2016.17.18'!$D:$D,'Base -Receita-Despesa'!I$5)</f>
        <v>0</v>
      </c>
      <c r="J21" s="123">
        <f>SUMIFS('Conciliação Bancária 2016.17.18'!$J:$J,'Conciliação Bancária 2016.17.18'!$K:$K,'Base -Receita-Despesa'!$B21,'Conciliação Bancária 2016.17.18'!$D:$D,'Base -Receita-Despesa'!J$5)</f>
        <v>0</v>
      </c>
      <c r="K21" s="123">
        <f>SUMIFS('Conciliação Bancária 2016.17.18'!$J:$J,'Conciliação Bancária 2016.17.18'!$K:$K,'Base -Receita-Despesa'!$B21,'Conciliação Bancária 2016.17.18'!$D:$D,'Base -Receita-Despesa'!K$5)</f>
        <v>0</v>
      </c>
      <c r="L21" s="123">
        <f>SUMIFS('Conciliação Bancária 2016.17.18'!$J:$J,'Conciliação Bancária 2016.17.18'!$K:$K,'Base -Receita-Despesa'!$B21,'Conciliação Bancária 2016.17.18'!$D:$D,'Base -Receita-Despesa'!L$5)</f>
        <v>0</v>
      </c>
      <c r="M21" s="123">
        <f>SUMIFS('Conciliação Bancária 2016.17.18'!$J:$J,'Conciliação Bancária 2016.17.18'!$K:$K,'Base -Receita-Despesa'!$B21,'Conciliação Bancária 2016.17.18'!$D:$D,'Base -Receita-Despesa'!M$5)</f>
        <v>0</v>
      </c>
      <c r="N21" s="189">
        <f>SUMIFS('Conciliação Bancária 2016.17.18'!$J:$J,'Conciliação Bancária 2016.17.18'!$K:$K,'Base -Receita-Despesa'!$B21,'Conciliação Bancária 2016.17.18'!$D:$D,'Base -Receita-Despesa'!N$5)</f>
        <v>0</v>
      </c>
      <c r="O21" s="200">
        <f t="shared" si="2"/>
        <v>0</v>
      </c>
      <c r="P21" s="175"/>
    </row>
    <row r="22" spans="2:16" ht="24" outlineLevel="1" x14ac:dyDescent="0.3">
      <c r="B22" s="205" t="s">
        <v>64</v>
      </c>
      <c r="C22" s="123">
        <f>SUMIFS('Conciliação Bancária 2016.17.18'!$J:$J,'Conciliação Bancária 2016.17.18'!$K:$K,'Base -Receita-Despesa'!$B22,'Conciliação Bancária 2016.17.18'!$D:$D,'Base -Receita-Despesa'!C$5)</f>
        <v>0</v>
      </c>
      <c r="D22" s="123">
        <f>SUMIFS('Conciliação Bancária 2016.17.18'!$J:$J,'Conciliação Bancária 2016.17.18'!$K:$K,'Base -Receita-Despesa'!$B22,'Conciliação Bancária 2016.17.18'!$D:$D,'Base -Receita-Despesa'!D$5)</f>
        <v>0</v>
      </c>
      <c r="E22" s="123">
        <f>SUMIFS('Conciliação Bancária 2016.17.18'!$J:$J,'Conciliação Bancária 2016.17.18'!$K:$K,'Base -Receita-Despesa'!$B22,'Conciliação Bancária 2016.17.18'!$D:$D,'Base -Receita-Despesa'!E$5)</f>
        <v>0</v>
      </c>
      <c r="F22" s="123">
        <f>SUMIFS('Conciliação Bancária 2016.17.18'!$J:$J,'Conciliação Bancária 2016.17.18'!$K:$K,'Base -Receita-Despesa'!$B22,'Conciliação Bancária 2016.17.18'!$D:$D,'Base -Receita-Despesa'!F$5)</f>
        <v>0</v>
      </c>
      <c r="G22" s="123">
        <f>SUMIFS('Conciliação Bancária 2016.17.18'!$J:$J,'Conciliação Bancária 2016.17.18'!$K:$K,'Base -Receita-Despesa'!$B22,'Conciliação Bancária 2016.17.18'!$D:$D,'Base -Receita-Despesa'!G$5)</f>
        <v>0</v>
      </c>
      <c r="H22" s="123">
        <f>SUMIFS('Conciliação Bancária 2016.17.18'!$J:$J,'Conciliação Bancária 2016.17.18'!$K:$K,'Base -Receita-Despesa'!$B22,'Conciliação Bancária 2016.17.18'!$D:$D,'Base -Receita-Despesa'!H$5)</f>
        <v>0</v>
      </c>
      <c r="I22" s="123">
        <f>SUMIFS('Conciliação Bancária 2016.17.18'!$J:$J,'Conciliação Bancária 2016.17.18'!$K:$K,'Base -Receita-Despesa'!$B22,'Conciliação Bancária 2016.17.18'!$D:$D,'Base -Receita-Despesa'!I$5)</f>
        <v>0</v>
      </c>
      <c r="J22" s="123">
        <f>SUMIFS('Conciliação Bancária 2016.17.18'!$J:$J,'Conciliação Bancária 2016.17.18'!$K:$K,'Base -Receita-Despesa'!$B22,'Conciliação Bancária 2016.17.18'!$D:$D,'Base -Receita-Despesa'!J$5)</f>
        <v>0</v>
      </c>
      <c r="K22" s="123">
        <f>SUMIFS('Conciliação Bancária 2016.17.18'!$J:$J,'Conciliação Bancária 2016.17.18'!$K:$K,'Base -Receita-Despesa'!$B22,'Conciliação Bancária 2016.17.18'!$D:$D,'Base -Receita-Despesa'!K$5)</f>
        <v>0</v>
      </c>
      <c r="L22" s="123">
        <f>SUMIFS('Conciliação Bancária 2016.17.18'!$J:$J,'Conciliação Bancária 2016.17.18'!$K:$K,'Base -Receita-Despesa'!$B22,'Conciliação Bancária 2016.17.18'!$D:$D,'Base -Receita-Despesa'!L$5)</f>
        <v>0</v>
      </c>
      <c r="M22" s="123">
        <f>SUMIFS('Conciliação Bancária 2016.17.18'!$J:$J,'Conciliação Bancária 2016.17.18'!$K:$K,'Base -Receita-Despesa'!$B22,'Conciliação Bancária 2016.17.18'!$D:$D,'Base -Receita-Despesa'!M$5)</f>
        <v>0</v>
      </c>
      <c r="N22" s="189">
        <f>SUMIFS('Conciliação Bancária 2016.17.18'!$J:$J,'Conciliação Bancária 2016.17.18'!$K:$K,'Base -Receita-Despesa'!$B22,'Conciliação Bancária 2016.17.18'!$D:$D,'Base -Receita-Despesa'!N$5)</f>
        <v>0</v>
      </c>
      <c r="O22" s="200">
        <f t="shared" si="2"/>
        <v>0</v>
      </c>
      <c r="P22" s="175"/>
    </row>
    <row r="23" spans="2:16" s="116" customFormat="1" x14ac:dyDescent="0.3">
      <c r="B23" s="208" t="s">
        <v>65</v>
      </c>
      <c r="C23" s="129">
        <f>SUM(C17:C22)</f>
        <v>670764.02</v>
      </c>
      <c r="D23" s="129">
        <f t="shared" ref="D23:O23" si="3">SUM(D17:D22)</f>
        <v>1532475.35</v>
      </c>
      <c r="E23" s="129">
        <f t="shared" si="3"/>
        <v>1056795.6599999999</v>
      </c>
      <c r="F23" s="129">
        <f t="shared" si="3"/>
        <v>883499.1</v>
      </c>
      <c r="G23" s="129">
        <f t="shared" si="3"/>
        <v>1691327.83</v>
      </c>
      <c r="H23" s="129">
        <f t="shared" si="3"/>
        <v>1355755.97</v>
      </c>
      <c r="I23" s="129">
        <f t="shared" si="3"/>
        <v>1246815.8600000001</v>
      </c>
      <c r="J23" s="129">
        <f t="shared" si="3"/>
        <v>1031832.6699999999</v>
      </c>
      <c r="K23" s="129">
        <f t="shared" si="3"/>
        <v>0</v>
      </c>
      <c r="L23" s="129">
        <f t="shared" si="3"/>
        <v>0</v>
      </c>
      <c r="M23" s="129">
        <f t="shared" si="3"/>
        <v>0</v>
      </c>
      <c r="N23" s="169">
        <f t="shared" si="3"/>
        <v>0</v>
      </c>
      <c r="O23" s="185">
        <f t="shared" si="3"/>
        <v>9469266.459999999</v>
      </c>
      <c r="P23" s="178"/>
    </row>
    <row r="24" spans="2:16" outlineLevel="1" x14ac:dyDescent="0.3">
      <c r="B24" s="205" t="s">
        <v>66</v>
      </c>
      <c r="C24" s="123">
        <f>SUMIFS('Conciliação Bancária 2016.17.18'!$J:$J,'Conciliação Bancária 2016.17.18'!$K:$K,'Base -Receita-Despesa'!$B24,'Conciliação Bancária 2016.17.18'!$D:$D,'Base -Receita-Despesa'!C$5)</f>
        <v>0</v>
      </c>
      <c r="D24" s="123">
        <f>SUMIFS('Conciliação Bancária 2016.17.18'!$J:$J,'Conciliação Bancária 2016.17.18'!$K:$K,'Base -Receita-Despesa'!$B24,'Conciliação Bancária 2016.17.18'!$D:$D,'Base -Receita-Despesa'!D$5)</f>
        <v>0</v>
      </c>
      <c r="E24" s="123">
        <f>SUMIFS('Conciliação Bancária 2016.17.18'!$J:$J,'Conciliação Bancária 2016.17.18'!$K:$K,'Base -Receita-Despesa'!$B24,'Conciliação Bancária 2016.17.18'!$D:$D,'Base -Receita-Despesa'!E$5)</f>
        <v>0</v>
      </c>
      <c r="F24" s="123">
        <f>SUMIFS('Conciliação Bancária 2016.17.18'!$J:$J,'Conciliação Bancária 2016.17.18'!$K:$K,'Base -Receita-Despesa'!$B24,'Conciliação Bancária 2016.17.18'!$D:$D,'Base -Receita-Despesa'!F$5)</f>
        <v>0</v>
      </c>
      <c r="G24" s="123">
        <f>SUMIFS('Conciliação Bancária 2016.17.18'!$J:$J,'Conciliação Bancária 2016.17.18'!$K:$K,'Base -Receita-Despesa'!$B24,'Conciliação Bancária 2016.17.18'!$D:$D,'Base -Receita-Despesa'!G$5)</f>
        <v>0</v>
      </c>
      <c r="H24" s="123">
        <f>SUMIFS('Conciliação Bancária 2016.17.18'!$J:$J,'Conciliação Bancária 2016.17.18'!$K:$K,'Base -Receita-Despesa'!$B24,'Conciliação Bancária 2016.17.18'!$D:$D,'Base -Receita-Despesa'!H$5)</f>
        <v>0</v>
      </c>
      <c r="I24" s="123">
        <f>SUMIFS('Conciliação Bancária 2016.17.18'!$J:$J,'Conciliação Bancária 2016.17.18'!$K:$K,'Base -Receita-Despesa'!$B24,'Conciliação Bancária 2016.17.18'!$D:$D,'Base -Receita-Despesa'!I$5)</f>
        <v>0</v>
      </c>
      <c r="J24" s="123">
        <f>SUMIFS('Conciliação Bancária 2016.17.18'!$J:$J,'Conciliação Bancária 2016.17.18'!$K:$K,'Base -Receita-Despesa'!$B24,'Conciliação Bancária 2016.17.18'!$D:$D,'Base -Receita-Despesa'!J$5)</f>
        <v>0</v>
      </c>
      <c r="K24" s="123">
        <f>SUMIFS('Conciliação Bancária 2016.17.18'!$J:$J,'Conciliação Bancária 2016.17.18'!$K:$K,'Base -Receita-Despesa'!$B24,'Conciliação Bancária 2016.17.18'!$D:$D,'Base -Receita-Despesa'!K$5)</f>
        <v>0</v>
      </c>
      <c r="L24" s="123">
        <f>SUMIFS('Conciliação Bancária 2016.17.18'!$J:$J,'Conciliação Bancária 2016.17.18'!$K:$K,'Base -Receita-Despesa'!$B24,'Conciliação Bancária 2016.17.18'!$D:$D,'Base -Receita-Despesa'!L$5)</f>
        <v>0</v>
      </c>
      <c r="M24" s="123">
        <f>SUMIFS('Conciliação Bancária 2016.17.18'!$J:$J,'Conciliação Bancária 2016.17.18'!$K:$K,'Base -Receita-Despesa'!$B24,'Conciliação Bancária 2016.17.18'!$D:$D,'Base -Receita-Despesa'!M$5)</f>
        <v>0</v>
      </c>
      <c r="N24" s="189">
        <f>SUMIFS('Conciliação Bancária 2016.17.18'!$J:$J,'Conciliação Bancária 2016.17.18'!$K:$K,'Base -Receita-Despesa'!$B24,'Conciliação Bancária 2016.17.18'!$D:$D,'Base -Receita-Despesa'!N$5)</f>
        <v>0</v>
      </c>
      <c r="O24" s="200">
        <f>SUM(C24:N24)</f>
        <v>0</v>
      </c>
      <c r="P24" s="175"/>
    </row>
    <row r="25" spans="2:16" outlineLevel="1" x14ac:dyDescent="0.3">
      <c r="B25" s="205" t="s">
        <v>67</v>
      </c>
      <c r="C25" s="123">
        <f>SUMIFS('Conciliação Bancária 2016.17.18'!$J:$J,'Conciliação Bancária 2016.17.18'!$K:$K,'Base -Receita-Despesa'!$B25,'Conciliação Bancária 2016.17.18'!$D:$D,'Base -Receita-Despesa'!C$5)</f>
        <v>0</v>
      </c>
      <c r="D25" s="123">
        <f>SUMIFS('Conciliação Bancária 2016.17.18'!$J:$J,'Conciliação Bancária 2016.17.18'!$K:$K,'Base -Receita-Despesa'!$B25,'Conciliação Bancária 2016.17.18'!$D:$D,'Base -Receita-Despesa'!D$5)</f>
        <v>0</v>
      </c>
      <c r="E25" s="123">
        <f>SUMIFS('Conciliação Bancária 2016.17.18'!$J:$J,'Conciliação Bancária 2016.17.18'!$K:$K,'Base -Receita-Despesa'!$B25,'Conciliação Bancária 2016.17.18'!$D:$D,'Base -Receita-Despesa'!E$5)</f>
        <v>0</v>
      </c>
      <c r="F25" s="123">
        <f>SUMIFS('Conciliação Bancária 2016.17.18'!$J:$J,'Conciliação Bancária 2016.17.18'!$K:$K,'Base -Receita-Despesa'!$B25,'Conciliação Bancária 2016.17.18'!$D:$D,'Base -Receita-Despesa'!F$5)</f>
        <v>0</v>
      </c>
      <c r="G25" s="123">
        <f>SUMIFS('Conciliação Bancária 2016.17.18'!$J:$J,'Conciliação Bancária 2016.17.18'!$K:$K,'Base -Receita-Despesa'!$B25,'Conciliação Bancária 2016.17.18'!$D:$D,'Base -Receita-Despesa'!G$5)</f>
        <v>0</v>
      </c>
      <c r="H25" s="123">
        <f>SUMIFS('Conciliação Bancária 2016.17.18'!$J:$J,'Conciliação Bancária 2016.17.18'!$K:$K,'Base -Receita-Despesa'!$B25,'Conciliação Bancária 2016.17.18'!$D:$D,'Base -Receita-Despesa'!H$5)</f>
        <v>0</v>
      </c>
      <c r="I25" s="123">
        <f>SUMIFS('Conciliação Bancária 2016.17.18'!$J:$J,'Conciliação Bancária 2016.17.18'!$K:$K,'Base -Receita-Despesa'!$B25,'Conciliação Bancária 2016.17.18'!$D:$D,'Base -Receita-Despesa'!I$5)</f>
        <v>0</v>
      </c>
      <c r="J25" s="123">
        <f>SUMIFS('Conciliação Bancária 2016.17.18'!$J:$J,'Conciliação Bancária 2016.17.18'!$K:$K,'Base -Receita-Despesa'!$B25,'Conciliação Bancária 2016.17.18'!$D:$D,'Base -Receita-Despesa'!J$5)</f>
        <v>0</v>
      </c>
      <c r="K25" s="123">
        <f>SUMIFS('Conciliação Bancária 2016.17.18'!$J:$J,'Conciliação Bancária 2016.17.18'!$K:$K,'Base -Receita-Despesa'!$B25,'Conciliação Bancária 2016.17.18'!$D:$D,'Base -Receita-Despesa'!K$5)</f>
        <v>0</v>
      </c>
      <c r="L25" s="123">
        <f>SUMIFS('Conciliação Bancária 2016.17.18'!$J:$J,'Conciliação Bancária 2016.17.18'!$K:$K,'Base -Receita-Despesa'!$B25,'Conciliação Bancária 2016.17.18'!$D:$D,'Base -Receita-Despesa'!L$5)</f>
        <v>0</v>
      </c>
      <c r="M25" s="123">
        <f>SUMIFS('Conciliação Bancária 2016.17.18'!$J:$J,'Conciliação Bancária 2016.17.18'!$K:$K,'Base -Receita-Despesa'!$B25,'Conciliação Bancária 2016.17.18'!$D:$D,'Base -Receita-Despesa'!M$5)</f>
        <v>0</v>
      </c>
      <c r="N25" s="189">
        <f>SUMIFS('Conciliação Bancária 2016.17.18'!$J:$J,'Conciliação Bancária 2016.17.18'!$K:$K,'Base -Receita-Despesa'!$B25,'Conciliação Bancária 2016.17.18'!$D:$D,'Base -Receita-Despesa'!N$5)</f>
        <v>0</v>
      </c>
      <c r="O25" s="200">
        <f>SUM(C25:N25)</f>
        <v>0</v>
      </c>
      <c r="P25" s="175"/>
    </row>
    <row r="26" spans="2:16" s="116" customFormat="1" x14ac:dyDescent="0.3">
      <c r="B26" s="206" t="s">
        <v>68</v>
      </c>
      <c r="C26" s="129">
        <f t="shared" ref="C26:O26" si="4">SUM(C23:C25)</f>
        <v>670764.02</v>
      </c>
      <c r="D26" s="130">
        <f t="shared" si="4"/>
        <v>1532475.35</v>
      </c>
      <c r="E26" s="130">
        <f t="shared" si="4"/>
        <v>1056795.6599999999</v>
      </c>
      <c r="F26" s="130">
        <f t="shared" si="4"/>
        <v>883499.1</v>
      </c>
      <c r="G26" s="130">
        <f t="shared" si="4"/>
        <v>1691327.83</v>
      </c>
      <c r="H26" s="130">
        <f t="shared" si="4"/>
        <v>1355755.97</v>
      </c>
      <c r="I26" s="130">
        <f t="shared" si="4"/>
        <v>1246815.8600000001</v>
      </c>
      <c r="J26" s="130">
        <f t="shared" si="4"/>
        <v>1031832.6699999999</v>
      </c>
      <c r="K26" s="130">
        <f t="shared" si="4"/>
        <v>0</v>
      </c>
      <c r="L26" s="130">
        <f t="shared" si="4"/>
        <v>0</v>
      </c>
      <c r="M26" s="130">
        <f t="shared" si="4"/>
        <v>0</v>
      </c>
      <c r="N26" s="131">
        <f t="shared" si="4"/>
        <v>0</v>
      </c>
      <c r="O26" s="185">
        <f t="shared" si="4"/>
        <v>9469266.459999999</v>
      </c>
      <c r="P26" s="178"/>
    </row>
    <row r="27" spans="2:16" x14ac:dyDescent="0.3">
      <c r="B27" s="208"/>
      <c r="C27" s="269" t="s">
        <v>69</v>
      </c>
      <c r="D27" s="269"/>
      <c r="E27" s="269"/>
      <c r="F27" s="269"/>
      <c r="G27" s="269"/>
      <c r="H27" s="269"/>
      <c r="I27" s="269"/>
      <c r="J27" s="269"/>
      <c r="K27" s="269"/>
      <c r="L27" s="269"/>
      <c r="M27" s="269"/>
      <c r="N27" s="270"/>
      <c r="O27" s="212"/>
    </row>
    <row r="28" spans="2:16" outlineLevel="1" x14ac:dyDescent="0.3">
      <c r="B28" s="205" t="s">
        <v>70</v>
      </c>
      <c r="C28" s="123">
        <f>SUMIFS('Conciliação Bancária 2016.17.18'!$J:$J,'Conciliação Bancária 2016.17.18'!$K:$K,'Base -Receita-Despesa'!$B28,'Conciliação Bancária 2016.17.18'!$D:$D,'Base -Receita-Despesa'!C$5)</f>
        <v>0</v>
      </c>
      <c r="D28" s="124">
        <f>SUMIFS('Conciliação Bancária 2016.17.18'!$J:$J,'Conciliação Bancária 2016.17.18'!$K:$K,'Base -Receita-Despesa'!$B28,'Conciliação Bancária 2016.17.18'!$D:$D,'Base -Receita-Despesa'!D$5)</f>
        <v>0</v>
      </c>
      <c r="E28" s="124">
        <f>SUMIFS('Conciliação Bancária 2016.17.18'!$J:$J,'Conciliação Bancária 2016.17.18'!$K:$K,'Base -Receita-Despesa'!$B28,'Conciliação Bancária 2016.17.18'!$D:$D,'Base -Receita-Despesa'!E$5)</f>
        <v>0</v>
      </c>
      <c r="F28" s="124">
        <f>SUMIFS('Conciliação Bancária 2016.17.18'!$J:$J,'Conciliação Bancária 2016.17.18'!$K:$K,'Base -Receita-Despesa'!$B28,'Conciliação Bancária 2016.17.18'!$D:$D,'Base -Receita-Despesa'!F$5)</f>
        <v>0</v>
      </c>
      <c r="G28" s="124">
        <f>SUMIFS('Conciliação Bancária 2016.17.18'!$J:$J,'Conciliação Bancária 2016.17.18'!$K:$K,'Base -Receita-Despesa'!$B28,'Conciliação Bancária 2016.17.18'!$D:$D,'Base -Receita-Despesa'!G$5)</f>
        <v>0</v>
      </c>
      <c r="H28" s="124">
        <f>SUMIFS('Conciliação Bancária 2016.17.18'!$J:$J,'Conciliação Bancária 2016.17.18'!$K:$K,'Base -Receita-Despesa'!$B28,'Conciliação Bancária 2016.17.18'!$D:$D,'Base -Receita-Despesa'!H$5)</f>
        <v>519394.49999999994</v>
      </c>
      <c r="I28" s="124">
        <f>SUMIFS('Conciliação Bancária 2016.17.18'!$J:$J,'Conciliação Bancária 2016.17.18'!$K:$K,'Base -Receita-Despesa'!$B28,'Conciliação Bancária 2016.17.18'!$D:$D,'Base -Receita-Despesa'!I$5)</f>
        <v>652741.16</v>
      </c>
      <c r="J28" s="124">
        <f>SUMIFS('Conciliação Bancária 2016.17.18'!$J:$J,'Conciliação Bancária 2016.17.18'!$K:$K,'Base -Receita-Despesa'!$B28,'Conciliação Bancária 2016.17.18'!$D:$D,'Base -Receita-Despesa'!J$5)</f>
        <v>489800.47</v>
      </c>
      <c r="K28" s="124">
        <f>SUMIFS('Conciliação Bancária 2016.17.18'!$J:$J,'Conciliação Bancária 2016.17.18'!$K:$K,'Base -Receita-Despesa'!$B28,'Conciliação Bancária 2016.17.18'!$D:$D,'Base -Receita-Despesa'!K$5)</f>
        <v>0</v>
      </c>
      <c r="L28" s="124">
        <f>SUMIFS('Conciliação Bancária 2016.17.18'!$J:$J,'Conciliação Bancária 2016.17.18'!$K:$K,'Base -Receita-Despesa'!$B28,'Conciliação Bancária 2016.17.18'!$D:$D,'Base -Receita-Despesa'!L$5)</f>
        <v>0</v>
      </c>
      <c r="M28" s="124">
        <f>SUMIFS('Conciliação Bancária 2016.17.18'!$J:$J,'Conciliação Bancária 2016.17.18'!$K:$K,'Base -Receita-Despesa'!$B28,'Conciliação Bancária 2016.17.18'!$D:$D,'Base -Receita-Despesa'!M$5)</f>
        <v>0</v>
      </c>
      <c r="N28" s="167">
        <f>SUMIFS('Conciliação Bancária 2016.17.18'!$J:$J,'Conciliação Bancária 2016.17.18'!$K:$K,'Base -Receita-Despesa'!$B28,'Conciliação Bancária 2016.17.18'!$D:$D,'Base -Receita-Despesa'!N$5)</f>
        <v>0</v>
      </c>
      <c r="O28" s="200">
        <f>SUM(C28:N28)</f>
        <v>1661936.13</v>
      </c>
      <c r="P28" s="175"/>
    </row>
    <row r="29" spans="2:16" outlineLevel="1" x14ac:dyDescent="0.3">
      <c r="B29" s="205" t="s">
        <v>71</v>
      </c>
      <c r="C29" s="123">
        <f>SUMIFS('Conciliação Bancária 2016.17.18'!$J:$J,'Conciliação Bancária 2016.17.18'!$K:$K,'Base -Receita-Despesa'!$B29,'Conciliação Bancária 2016.17.18'!$D:$D,'Base -Receita-Despesa'!C$5)</f>
        <v>0</v>
      </c>
      <c r="D29" s="124">
        <f>SUMIFS('Conciliação Bancária 2016.17.18'!$J:$J,'Conciliação Bancária 2016.17.18'!$K:$K,'Base -Receita-Despesa'!$B29,'Conciliação Bancária 2016.17.18'!$D:$D,'Base -Receita-Despesa'!D$5)</f>
        <v>0</v>
      </c>
      <c r="E29" s="124">
        <f>SUMIFS('Conciliação Bancária 2016.17.18'!$J:$J,'Conciliação Bancária 2016.17.18'!$K:$K,'Base -Receita-Despesa'!$B29,'Conciliação Bancária 2016.17.18'!$D:$D,'Base -Receita-Despesa'!E$5)</f>
        <v>0</v>
      </c>
      <c r="F29" s="124">
        <f>SUMIFS('Conciliação Bancária 2016.17.18'!$J:$J,'Conciliação Bancária 2016.17.18'!$K:$K,'Base -Receita-Despesa'!$B29,'Conciliação Bancária 2016.17.18'!$D:$D,'Base -Receita-Despesa'!F$5)</f>
        <v>0</v>
      </c>
      <c r="G29" s="124">
        <f>SUMIFS('Conciliação Bancária 2016.17.18'!$J:$J,'Conciliação Bancária 2016.17.18'!$K:$K,'Base -Receita-Despesa'!$B29,'Conciliação Bancária 2016.17.18'!$D:$D,'Base -Receita-Despesa'!G$5)</f>
        <v>0</v>
      </c>
      <c r="H29" s="124">
        <f>SUMIFS('Conciliação Bancária 2016.17.18'!$J:$J,'Conciliação Bancária 2016.17.18'!$K:$K,'Base -Receita-Despesa'!$B29,'Conciliação Bancária 2016.17.18'!$D:$D,'Base -Receita-Despesa'!H$5)</f>
        <v>-882000</v>
      </c>
      <c r="I29" s="124">
        <f>SUMIFS('Conciliação Bancária 2016.17.18'!$J:$J,'Conciliação Bancária 2016.17.18'!$K:$K,'Base -Receita-Despesa'!$B29,'Conciliação Bancária 2016.17.18'!$D:$D,'Base -Receita-Despesa'!I$5)</f>
        <v>-537000</v>
      </c>
      <c r="J29" s="124">
        <f>SUMIFS('Conciliação Bancária 2016.17.18'!$J:$J,'Conciliação Bancária 2016.17.18'!$K:$K,'Base -Receita-Despesa'!$B29,'Conciliação Bancária 2016.17.18'!$D:$D,'Base -Receita-Despesa'!J$5)</f>
        <v>-360000</v>
      </c>
      <c r="K29" s="124">
        <f>SUMIFS('Conciliação Bancária 2016.17.18'!$J:$J,'Conciliação Bancária 2016.17.18'!$K:$K,'Base -Receita-Despesa'!$B29,'Conciliação Bancária 2016.17.18'!$D:$D,'Base -Receita-Despesa'!K$5)</f>
        <v>0</v>
      </c>
      <c r="L29" s="124">
        <f>SUMIFS('Conciliação Bancária 2016.17.18'!$J:$J,'Conciliação Bancária 2016.17.18'!$K:$K,'Base -Receita-Despesa'!$B29,'Conciliação Bancária 2016.17.18'!$D:$D,'Base -Receita-Despesa'!L$5)</f>
        <v>0</v>
      </c>
      <c r="M29" s="124">
        <f>SUMIFS('Conciliação Bancária 2016.17.18'!$J:$J,'Conciliação Bancária 2016.17.18'!$K:$K,'Base -Receita-Despesa'!$B29,'Conciliação Bancária 2016.17.18'!$D:$D,'Base -Receita-Despesa'!M$5)</f>
        <v>0</v>
      </c>
      <c r="N29" s="167">
        <f>SUMIFS('Conciliação Bancária 2016.17.18'!$J:$J,'Conciliação Bancária 2016.17.18'!$K:$K,'Base -Receita-Despesa'!$B29,'Conciliação Bancária 2016.17.18'!$D:$D,'Base -Receita-Despesa'!N$5)</f>
        <v>0</v>
      </c>
      <c r="O29" s="200">
        <f>SUM(C29:N29)</f>
        <v>-1779000</v>
      </c>
      <c r="P29" s="175"/>
    </row>
    <row r="30" spans="2:16" outlineLevel="1" x14ac:dyDescent="0.3">
      <c r="B30" s="205" t="s">
        <v>72</v>
      </c>
      <c r="C30" s="123">
        <f>SUMIFS('Conciliação Bancária 2016.17.18'!$J:$J,'Conciliação Bancária 2016.17.18'!$K:$K,'Base -Receita-Despesa'!$B30,'Conciliação Bancária 2016.17.18'!$D:$D,'Base -Receita-Despesa'!C$5)</f>
        <v>0</v>
      </c>
      <c r="D30" s="124">
        <f>SUMIFS('Conciliação Bancária 2016.17.18'!$J:$J,'Conciliação Bancária 2016.17.18'!$K:$K,'Base -Receita-Despesa'!$B30,'Conciliação Bancária 2016.17.18'!$D:$D,'Base -Receita-Despesa'!D$5)</f>
        <v>0</v>
      </c>
      <c r="E30" s="124">
        <f>SUMIFS('Conciliação Bancária 2016.17.18'!$J:$J,'Conciliação Bancária 2016.17.18'!$K:$K,'Base -Receita-Despesa'!$B30,'Conciliação Bancária 2016.17.18'!$D:$D,'Base -Receita-Despesa'!E$5)</f>
        <v>0</v>
      </c>
      <c r="F30" s="124">
        <f>SUMIFS('Conciliação Bancária 2016.17.18'!$J:$J,'Conciliação Bancária 2016.17.18'!$K:$K,'Base -Receita-Despesa'!$B30,'Conciliação Bancária 2016.17.18'!$D:$D,'Base -Receita-Despesa'!F$5)</f>
        <v>0</v>
      </c>
      <c r="G30" s="124">
        <f>SUMIFS('Conciliação Bancária 2016.17.18'!$J:$J,'Conciliação Bancária 2016.17.18'!$K:$K,'Base -Receita-Despesa'!$B30,'Conciliação Bancária 2016.17.18'!$D:$D,'Base -Receita-Despesa'!G$5)</f>
        <v>0</v>
      </c>
      <c r="H30" s="124">
        <f>SUMIFS('Conciliação Bancária 2016.17.18'!$J:$J,'Conciliação Bancária 2016.17.18'!$K:$K,'Base -Receita-Despesa'!$B30,'Conciliação Bancária 2016.17.18'!$D:$D,'Base -Receita-Despesa'!H$5)</f>
        <v>0</v>
      </c>
      <c r="I30" s="124">
        <f>SUMIFS('Conciliação Bancária 2016.17.18'!$J:$J,'Conciliação Bancária 2016.17.18'!$K:$K,'Base -Receita-Despesa'!$B30,'Conciliação Bancária 2016.17.18'!$D:$D,'Base -Receita-Despesa'!I$5)</f>
        <v>0</v>
      </c>
      <c r="J30" s="124">
        <f>SUMIFS('Conciliação Bancária 2016.17.18'!$J:$J,'Conciliação Bancária 2016.17.18'!$K:$K,'Base -Receita-Despesa'!$B30,'Conciliação Bancária 2016.17.18'!$D:$D,'Base -Receita-Despesa'!J$5)</f>
        <v>0</v>
      </c>
      <c r="K30" s="124">
        <f>SUMIFS('Conciliação Bancária 2016.17.18'!$J:$J,'Conciliação Bancária 2016.17.18'!$K:$K,'Base -Receita-Despesa'!$B30,'Conciliação Bancária 2016.17.18'!$D:$D,'Base -Receita-Despesa'!K$5)</f>
        <v>0</v>
      </c>
      <c r="L30" s="124">
        <f>SUMIFS('Conciliação Bancária 2016.17.18'!$J:$J,'Conciliação Bancária 2016.17.18'!$K:$K,'Base -Receita-Despesa'!$B30,'Conciliação Bancária 2016.17.18'!$D:$D,'Base -Receita-Despesa'!L$5)</f>
        <v>0</v>
      </c>
      <c r="M30" s="124">
        <f>SUMIFS('Conciliação Bancária 2016.17.18'!$J:$J,'Conciliação Bancária 2016.17.18'!$K:$K,'Base -Receita-Despesa'!$B30,'Conciliação Bancária 2016.17.18'!$D:$D,'Base -Receita-Despesa'!M$5)</f>
        <v>0</v>
      </c>
      <c r="N30" s="167">
        <f>SUMIFS('Conciliação Bancária 2016.17.18'!$J:$J,'Conciliação Bancária 2016.17.18'!$K:$K,'Base -Receita-Despesa'!$B30,'Conciliação Bancária 2016.17.18'!$D:$D,'Base -Receita-Despesa'!N$5)</f>
        <v>0</v>
      </c>
      <c r="O30" s="200">
        <f>SUM(C30:N30)</f>
        <v>0</v>
      </c>
      <c r="P30" s="175"/>
    </row>
    <row r="31" spans="2:16" s="116" customFormat="1" x14ac:dyDescent="0.3">
      <c r="B31" s="206" t="s">
        <v>73</v>
      </c>
      <c r="C31" s="129">
        <f>SUM(C28:C30)</f>
        <v>0</v>
      </c>
      <c r="D31" s="129">
        <f t="shared" ref="D31:O31" si="5">SUM(D28:D30)</f>
        <v>0</v>
      </c>
      <c r="E31" s="129">
        <f t="shared" si="5"/>
        <v>0</v>
      </c>
      <c r="F31" s="129">
        <f t="shared" si="5"/>
        <v>0</v>
      </c>
      <c r="G31" s="129">
        <f t="shared" si="5"/>
        <v>0</v>
      </c>
      <c r="H31" s="129">
        <f t="shared" si="5"/>
        <v>-362605.50000000006</v>
      </c>
      <c r="I31" s="129">
        <f t="shared" si="5"/>
        <v>115741.16000000003</v>
      </c>
      <c r="J31" s="129">
        <f t="shared" si="5"/>
        <v>129800.46999999997</v>
      </c>
      <c r="K31" s="129">
        <f t="shared" si="5"/>
        <v>0</v>
      </c>
      <c r="L31" s="129">
        <f t="shared" si="5"/>
        <v>0</v>
      </c>
      <c r="M31" s="129">
        <f t="shared" si="5"/>
        <v>0</v>
      </c>
      <c r="N31" s="169">
        <f>SUM(N28:N30)</f>
        <v>0</v>
      </c>
      <c r="O31" s="185">
        <f t="shared" si="5"/>
        <v>-117063.87000000011</v>
      </c>
      <c r="P31" s="178"/>
    </row>
    <row r="32" spans="2:16" x14ac:dyDescent="0.3">
      <c r="B32" s="205"/>
      <c r="C32" s="269" t="s">
        <v>74</v>
      </c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270"/>
      <c r="O32" s="212"/>
    </row>
    <row r="33" spans="2:16" outlineLevel="1" x14ac:dyDescent="0.3">
      <c r="B33" s="205" t="s">
        <v>10</v>
      </c>
      <c r="C33" s="183">
        <f>SUMIFS('Conciliação Bancária 2016.17.18'!$J:$J,'Conciliação Bancária 2016.17.18'!$K:$K,'Base -Receita-Despesa'!$B33,'Conciliação Bancária 2016.17.18'!$D:$D,'Base -Receita-Despesa'!C$5)</f>
        <v>-441.5</v>
      </c>
      <c r="D33" s="134">
        <f>SUMIFS('Conciliação Bancária 2016.17.18'!$J:$J,'Conciliação Bancária 2016.17.18'!$K:$K,'Base -Receita-Despesa'!$B33,'Conciliação Bancária 2016.17.18'!$D:$D,'Base -Receita-Despesa'!D$5)</f>
        <v>-1750</v>
      </c>
      <c r="E33" s="134">
        <f>SUMIFS('Conciliação Bancária 2016.17.18'!$J:$J,'Conciliação Bancária 2016.17.18'!$K:$K,'Base -Receita-Despesa'!$B33,'Conciliação Bancária 2016.17.18'!$D:$D,'Base -Receita-Despesa'!E$5)</f>
        <v>-5487.17</v>
      </c>
      <c r="F33" s="134">
        <f>SUMIFS('Conciliação Bancária 2016.17.18'!$J:$J,'Conciliação Bancária 2016.17.18'!$K:$K,'Base -Receita-Despesa'!$B33,'Conciliação Bancária 2016.17.18'!$D:$D,'Base -Receita-Despesa'!F$5)</f>
        <v>-1750</v>
      </c>
      <c r="G33" s="134">
        <f>SUMIFS('Conciliação Bancária 2016.17.18'!$J:$J,'Conciliação Bancária 2016.17.18'!$K:$K,'Base -Receita-Despesa'!$B33,'Conciliação Bancária 2016.17.18'!$D:$D,'Base -Receita-Despesa'!G$5)</f>
        <v>0</v>
      </c>
      <c r="H33" s="134">
        <f>SUMIFS('Conciliação Bancária 2016.17.18'!$J:$J,'Conciliação Bancária 2016.17.18'!$K:$K,'Base -Receita-Despesa'!$B33,'Conciliação Bancária 2016.17.18'!$D:$D,'Base -Receita-Despesa'!H$5)</f>
        <v>-487</v>
      </c>
      <c r="I33" s="134">
        <f>SUMIFS('Conciliação Bancária 2016.17.18'!$J:$J,'Conciliação Bancária 2016.17.18'!$K:$K,'Base -Receita-Despesa'!$B33,'Conciliação Bancária 2016.17.18'!$D:$D,'Base -Receita-Despesa'!I$5)</f>
        <v>-6960</v>
      </c>
      <c r="J33" s="134">
        <f>SUMIFS('Conciliação Bancária 2016.17.18'!$J:$J,'Conciliação Bancária 2016.17.18'!$K:$K,'Base -Receita-Despesa'!$B33,'Conciliação Bancária 2016.17.18'!$D:$D,'Base -Receita-Despesa'!J$5)</f>
        <v>-9294.44</v>
      </c>
      <c r="K33" s="134">
        <f>SUMIFS('Conciliação Bancária 2016.17.18'!$J:$J,'Conciliação Bancária 2016.17.18'!$K:$K,'Base -Receita-Despesa'!$B33,'Conciliação Bancária 2016.17.18'!$D:$D,'Base -Receita-Despesa'!K$5)</f>
        <v>0</v>
      </c>
      <c r="L33" s="134">
        <f>SUMIFS('Conciliação Bancária 2016.17.18'!$J:$J,'Conciliação Bancária 2016.17.18'!$K:$K,'Base -Receita-Despesa'!$B33,'Conciliação Bancária 2016.17.18'!$D:$D,'Base -Receita-Despesa'!L$5)</f>
        <v>0</v>
      </c>
      <c r="M33" s="134">
        <f>SUMIFS('Conciliação Bancária 2016.17.18'!$J:$J,'Conciliação Bancária 2016.17.18'!$K:$K,'Base -Receita-Despesa'!$B33,'Conciliação Bancária 2016.17.18'!$D:$D,'Base -Receita-Despesa'!M$5)</f>
        <v>0</v>
      </c>
      <c r="N33" s="191">
        <f>SUMIFS('Conciliação Bancária 2016.17.18'!$J:$J,'Conciliação Bancária 2016.17.18'!$K:$K,'Base -Receita-Despesa'!$B33,'Conciliação Bancária 2016.17.18'!$D:$D,'Base -Receita-Despesa'!N$5)</f>
        <v>0</v>
      </c>
      <c r="O33" s="186">
        <f t="shared" ref="O33:O49" si="6">SUM(C33:N33)</f>
        <v>-26170.11</v>
      </c>
      <c r="P33" s="175"/>
    </row>
    <row r="34" spans="2:16" s="166" customFormat="1" outlineLevel="1" x14ac:dyDescent="0.3">
      <c r="B34" s="209" t="s">
        <v>75</v>
      </c>
      <c r="C34" s="184">
        <f>SUMIFS('Conciliação Bancária 2016.17.18'!$J:$J,'Conciliação Bancária 2016.17.18'!$K:$K,'Base -Receita-Despesa'!$B34,'Conciliação Bancária 2016.17.18'!$D:$D,'Base -Receita-Despesa'!C$5)</f>
        <v>-281954.75999999972</v>
      </c>
      <c r="D34" s="165">
        <f>SUMIFS('Conciliação Bancária 2016.17.18'!$J:$J,'Conciliação Bancária 2016.17.18'!$K:$K,'Base -Receita-Despesa'!$B34,'Conciliação Bancária 2016.17.18'!$D:$D,'Base -Receita-Despesa'!D$5)</f>
        <v>-332862.51265641139</v>
      </c>
      <c r="E34" s="165">
        <f>SUMIFS('Conciliação Bancária 2016.17.18'!$J:$J,'Conciliação Bancária 2016.17.18'!$K:$K,'Base -Receita-Despesa'!$B34,'Conciliação Bancária 2016.17.18'!$D:$D,'Base -Receita-Despesa'!E$5)</f>
        <v>-334020.46000000008</v>
      </c>
      <c r="F34" s="165">
        <f>SUMIFS('Conciliação Bancária 2016.17.18'!$J:$J,'Conciliação Bancária 2016.17.18'!$K:$K,'Base -Receita-Despesa'!$B34,'Conciliação Bancária 2016.17.18'!$D:$D,'Base -Receita-Despesa'!F$5)</f>
        <v>-339839.65000000008</v>
      </c>
      <c r="G34" s="165">
        <f>SUMIFS('Conciliação Bancária 2016.17.18'!$J:$J,'Conciliação Bancária 2016.17.18'!$K:$K,'Base -Receita-Despesa'!$B34,'Conciliação Bancária 2016.17.18'!$D:$D,'Base -Receita-Despesa'!G$5)</f>
        <v>-348065.08000000013</v>
      </c>
      <c r="H34" s="165">
        <f>SUMIFS('Conciliação Bancária 2016.17.18'!$J:$J,'Conciliação Bancária 2016.17.18'!$K:$K,'Base -Receita-Despesa'!$B34,'Conciliação Bancária 2016.17.18'!$D:$D,'Base -Receita-Despesa'!H$5)</f>
        <v>-381326.67000000004</v>
      </c>
      <c r="I34" s="165">
        <f>SUMIFS('Conciliação Bancária 2016.17.18'!$J:$J,'Conciliação Bancária 2016.17.18'!$K:$K,'Base -Receita-Despesa'!$B34,'Conciliação Bancária 2016.17.18'!$D:$D,'Base -Receita-Despesa'!I$5)</f>
        <v>-358785.84999999992</v>
      </c>
      <c r="J34" s="165">
        <f>SUMIFS('Conciliação Bancária 2016.17.18'!$J:$J,'Conciliação Bancária 2016.17.18'!$K:$K,'Base -Receita-Despesa'!$B34,'Conciliação Bancária 2016.17.18'!$D:$D,'Base -Receita-Despesa'!J$5)</f>
        <v>-330420.39000000013</v>
      </c>
      <c r="K34" s="165">
        <f>SUMIFS('Conciliação Bancária 2016.17.18'!$J:$J,'Conciliação Bancária 2016.17.18'!$K:$K,'Base -Receita-Despesa'!$B34,'Conciliação Bancária 2016.17.18'!$D:$D,'Base -Receita-Despesa'!K$5)</f>
        <v>0</v>
      </c>
      <c r="L34" s="165">
        <f>SUMIFS('Conciliação Bancária 2016.17.18'!$J:$J,'Conciliação Bancária 2016.17.18'!$K:$K,'Base -Receita-Despesa'!$B34,'Conciliação Bancária 2016.17.18'!$D:$D,'Base -Receita-Despesa'!L$5)</f>
        <v>0</v>
      </c>
      <c r="M34" s="165">
        <f>SUMIFS('Conciliação Bancária 2016.17.18'!$J:$J,'Conciliação Bancária 2016.17.18'!$K:$K,'Base -Receita-Despesa'!$B34,'Conciliação Bancária 2016.17.18'!$D:$D,'Base -Receita-Despesa'!M$5)</f>
        <v>0</v>
      </c>
      <c r="N34" s="192">
        <f>SUMIFS('Conciliação Bancária 2016.17.18'!$J:$J,'Conciliação Bancária 2016.17.18'!$K:$K,'Base -Receita-Despesa'!$B34,'Conciliação Bancária 2016.17.18'!$D:$D,'Base -Receita-Despesa'!N$5)</f>
        <v>0</v>
      </c>
      <c r="O34" s="199">
        <f t="shared" si="6"/>
        <v>-2707275.3726564115</v>
      </c>
      <c r="P34" s="175"/>
    </row>
    <row r="35" spans="2:16" s="166" customFormat="1" outlineLevel="1" x14ac:dyDescent="0.3">
      <c r="B35" s="209" t="s">
        <v>76</v>
      </c>
      <c r="C35" s="184">
        <f>SUMIFS('Conciliação Bancária 2016.17.18'!$J:$J,'Conciliação Bancária 2016.17.18'!$K:$K,'Base -Receita-Despesa'!$B35,'Conciliação Bancária 2016.17.18'!$D:$D,'Base -Receita-Despesa'!C$5)</f>
        <v>-76095.719999999987</v>
      </c>
      <c r="D35" s="165">
        <f>SUMIFS('Conciliação Bancária 2016.17.18'!$J:$J,'Conciliação Bancária 2016.17.18'!$K:$K,'Base -Receita-Despesa'!$B35,'Conciliação Bancária 2016.17.18'!$D:$D,'Base -Receita-Despesa'!D$5)</f>
        <v>-551949.97000000009</v>
      </c>
      <c r="E35" s="165">
        <f>SUMIFS('Conciliação Bancária 2016.17.18'!$J:$J,'Conciliação Bancária 2016.17.18'!$K:$K,'Base -Receita-Despesa'!$B35,'Conciliação Bancária 2016.17.18'!$D:$D,'Base -Receita-Despesa'!E$5)</f>
        <v>-390289.15000000008</v>
      </c>
      <c r="F35" s="165">
        <f>SUMIFS('Conciliação Bancária 2016.17.18'!$J:$J,'Conciliação Bancária 2016.17.18'!$K:$K,'Base -Receita-Despesa'!$B35,'Conciliação Bancária 2016.17.18'!$D:$D,'Base -Receita-Despesa'!F$5)</f>
        <v>-470427.28999999992</v>
      </c>
      <c r="G35" s="165">
        <f>SUMIFS('Conciliação Bancária 2016.17.18'!$J:$J,'Conciliação Bancária 2016.17.18'!$K:$K,'Base -Receita-Despesa'!$B35,'Conciliação Bancária 2016.17.18'!$D:$D,'Base -Receita-Despesa'!G$5)</f>
        <v>-878606.65999999968</v>
      </c>
      <c r="H35" s="165">
        <f>SUMIFS('Conciliação Bancária 2016.17.18'!$J:$J,'Conciliação Bancária 2016.17.18'!$K:$K,'Base -Receita-Despesa'!$B35,'Conciliação Bancária 2016.17.18'!$D:$D,'Base -Receita-Despesa'!H$5)</f>
        <v>-492739.92999999982</v>
      </c>
      <c r="I35" s="165">
        <f>SUMIFS('Conciliação Bancária 2016.17.18'!$J:$J,'Conciliação Bancária 2016.17.18'!$K:$K,'Base -Receita-Despesa'!$B35,'Conciliação Bancária 2016.17.18'!$D:$D,'Base -Receita-Despesa'!I$5)</f>
        <v>-435836.36000000016</v>
      </c>
      <c r="J35" s="165">
        <f>SUMIFS('Conciliação Bancária 2016.17.18'!$J:$J,'Conciliação Bancária 2016.17.18'!$K:$K,'Base -Receita-Despesa'!$B35,'Conciliação Bancária 2016.17.18'!$D:$D,'Base -Receita-Despesa'!J$5)</f>
        <v>-425781.51999999996</v>
      </c>
      <c r="K35" s="165">
        <f>SUMIFS('Conciliação Bancária 2016.17.18'!$J:$J,'Conciliação Bancária 2016.17.18'!$K:$K,'Base -Receita-Despesa'!$B35,'Conciliação Bancária 2016.17.18'!$D:$D,'Base -Receita-Despesa'!K$5)</f>
        <v>0</v>
      </c>
      <c r="L35" s="165">
        <f>SUMIFS('Conciliação Bancária 2016.17.18'!$J:$J,'Conciliação Bancária 2016.17.18'!$K:$K,'Base -Receita-Despesa'!$B35,'Conciliação Bancária 2016.17.18'!$D:$D,'Base -Receita-Despesa'!L$5)</f>
        <v>0</v>
      </c>
      <c r="M35" s="165">
        <f>SUMIFS('Conciliação Bancária 2016.17.18'!$J:$J,'Conciliação Bancária 2016.17.18'!$K:$K,'Base -Receita-Despesa'!$B35,'Conciliação Bancária 2016.17.18'!$D:$D,'Base -Receita-Despesa'!M$5)</f>
        <v>0</v>
      </c>
      <c r="N35" s="192">
        <f>SUMIFS('Conciliação Bancária 2016.17.18'!$J:$J,'Conciliação Bancária 2016.17.18'!$K:$K,'Base -Receita-Despesa'!$B35,'Conciliação Bancária 2016.17.18'!$D:$D,'Base -Receita-Despesa'!N$5)</f>
        <v>0</v>
      </c>
      <c r="O35" s="199">
        <f t="shared" si="6"/>
        <v>-3721726.5999999996</v>
      </c>
      <c r="P35" s="175"/>
    </row>
    <row r="36" spans="2:16" s="166" customFormat="1" outlineLevel="1" x14ac:dyDescent="0.3">
      <c r="B36" s="209" t="s">
        <v>77</v>
      </c>
      <c r="C36" s="184">
        <f>SUMIFS('Conciliação Bancária 2016.17.18'!$J:$J,'Conciliação Bancária 2016.17.18'!$K:$K,'Base -Receita-Despesa'!$B36,'Conciliação Bancária 2016.17.18'!$D:$D,'Base -Receita-Despesa'!C$5)</f>
        <v>-36183.22</v>
      </c>
      <c r="D36" s="165">
        <f>SUMIFS('Conciliação Bancária 2016.17.18'!$J:$J,'Conciliação Bancária 2016.17.18'!$K:$K,'Base -Receita-Despesa'!$B36,'Conciliação Bancária 2016.17.18'!$D:$D,'Base -Receita-Despesa'!D$5)</f>
        <v>-161642.31000000006</v>
      </c>
      <c r="E36" s="165">
        <f>SUMIFS('Conciliação Bancária 2016.17.18'!$J:$J,'Conciliação Bancária 2016.17.18'!$K:$K,'Base -Receita-Despesa'!$B36,'Conciliação Bancária 2016.17.18'!$D:$D,'Base -Receita-Despesa'!E$5)</f>
        <v>-88255.24000000002</v>
      </c>
      <c r="F36" s="165">
        <f>SUMIFS('Conciliação Bancária 2016.17.18'!$J:$J,'Conciliação Bancária 2016.17.18'!$K:$K,'Base -Receita-Despesa'!$B36,'Conciliação Bancária 2016.17.18'!$D:$D,'Base -Receita-Despesa'!F$5)</f>
        <v>-82494.950000000012</v>
      </c>
      <c r="G36" s="165">
        <f>SUMIFS('Conciliação Bancária 2016.17.18'!$J:$J,'Conciliação Bancária 2016.17.18'!$K:$K,'Base -Receita-Despesa'!$B36,'Conciliação Bancária 2016.17.18'!$D:$D,'Base -Receita-Despesa'!G$5)</f>
        <v>-75624</v>
      </c>
      <c r="H36" s="165">
        <f>SUMIFS('Conciliação Bancária 2016.17.18'!$J:$J,'Conciliação Bancária 2016.17.18'!$K:$K,'Base -Receita-Despesa'!$B36,'Conciliação Bancária 2016.17.18'!$D:$D,'Base -Receita-Despesa'!H$5)</f>
        <v>-88100.360000000015</v>
      </c>
      <c r="I36" s="165">
        <f>SUMIFS('Conciliação Bancária 2016.17.18'!$J:$J,'Conciliação Bancária 2016.17.18'!$K:$K,'Base -Receita-Despesa'!$B36,'Conciliação Bancária 2016.17.18'!$D:$D,'Base -Receita-Despesa'!I$5)</f>
        <v>-63886.93</v>
      </c>
      <c r="J36" s="165">
        <f>SUMIFS('Conciliação Bancária 2016.17.18'!$J:$J,'Conciliação Bancária 2016.17.18'!$K:$K,'Base -Receita-Despesa'!$B36,'Conciliação Bancária 2016.17.18'!$D:$D,'Base -Receita-Despesa'!J$5)</f>
        <v>-124543.37999999996</v>
      </c>
      <c r="K36" s="165">
        <f>SUMIFS('Conciliação Bancária 2016.17.18'!$J:$J,'Conciliação Bancária 2016.17.18'!$K:$K,'Base -Receita-Despesa'!$B36,'Conciliação Bancária 2016.17.18'!$D:$D,'Base -Receita-Despesa'!K$5)</f>
        <v>0</v>
      </c>
      <c r="L36" s="165">
        <f>SUMIFS('Conciliação Bancária 2016.17.18'!$J:$J,'Conciliação Bancária 2016.17.18'!$K:$K,'Base -Receita-Despesa'!$B36,'Conciliação Bancária 2016.17.18'!$D:$D,'Base -Receita-Despesa'!L$5)</f>
        <v>0</v>
      </c>
      <c r="M36" s="165">
        <f>SUMIFS('Conciliação Bancária 2016.17.18'!$J:$J,'Conciliação Bancária 2016.17.18'!$K:$K,'Base -Receita-Despesa'!$B36,'Conciliação Bancária 2016.17.18'!$D:$D,'Base -Receita-Despesa'!M$5)</f>
        <v>0</v>
      </c>
      <c r="N36" s="192">
        <f>SUMIFS('Conciliação Bancária 2016.17.18'!$J:$J,'Conciliação Bancária 2016.17.18'!$K:$K,'Base -Receita-Despesa'!$B36,'Conciliação Bancária 2016.17.18'!$D:$D,'Base -Receita-Despesa'!N$5)</f>
        <v>0</v>
      </c>
      <c r="O36" s="199">
        <f t="shared" si="6"/>
        <v>-720730.39000000013</v>
      </c>
      <c r="P36" s="175"/>
    </row>
    <row r="37" spans="2:16" s="166" customFormat="1" outlineLevel="1" x14ac:dyDescent="0.3">
      <c r="B37" s="209" t="s">
        <v>78</v>
      </c>
      <c r="C37" s="184">
        <f>SUMIFS('Conciliação Bancária 2016.17.18'!$J:$J,'Conciliação Bancária 2016.17.18'!$K:$K,'Base -Receita-Despesa'!$B37,'Conciliação Bancária 2016.17.18'!$D:$D,'Base -Receita-Despesa'!C$5)</f>
        <v>-16030.740000000002</v>
      </c>
      <c r="D37" s="165">
        <f>SUMIFS('Conciliação Bancária 2016.17.18'!$J:$J,'Conciliação Bancária 2016.17.18'!$K:$K,'Base -Receita-Despesa'!$B37,'Conciliação Bancária 2016.17.18'!$D:$D,'Base -Receita-Despesa'!D$5)</f>
        <v>-23074.75</v>
      </c>
      <c r="E37" s="165">
        <f>SUMIFS('Conciliação Bancária 2016.17.18'!$J:$J,'Conciliação Bancária 2016.17.18'!$K:$K,'Base -Receita-Despesa'!$B37,'Conciliação Bancária 2016.17.18'!$D:$D,'Base -Receita-Despesa'!E$5)</f>
        <v>-21493.18</v>
      </c>
      <c r="F37" s="165">
        <f>SUMIFS('Conciliação Bancária 2016.17.18'!$J:$J,'Conciliação Bancária 2016.17.18'!$K:$K,'Base -Receita-Despesa'!$B37,'Conciliação Bancária 2016.17.18'!$D:$D,'Base -Receita-Despesa'!F$5)</f>
        <v>-22758.299999999996</v>
      </c>
      <c r="G37" s="165">
        <f>SUMIFS('Conciliação Bancária 2016.17.18'!$J:$J,'Conciliação Bancária 2016.17.18'!$K:$K,'Base -Receita-Despesa'!$B37,'Conciliação Bancária 2016.17.18'!$D:$D,'Base -Receita-Despesa'!G$5)</f>
        <v>-24046.22</v>
      </c>
      <c r="H37" s="165">
        <f>SUMIFS('Conciliação Bancária 2016.17.18'!$J:$J,'Conciliação Bancária 2016.17.18'!$K:$K,'Base -Receita-Despesa'!$B37,'Conciliação Bancária 2016.17.18'!$D:$D,'Base -Receita-Despesa'!H$5)</f>
        <v>-23744.28</v>
      </c>
      <c r="I37" s="165">
        <f>SUMIFS('Conciliação Bancária 2016.17.18'!$J:$J,'Conciliação Bancária 2016.17.18'!$K:$K,'Base -Receita-Despesa'!$B37,'Conciliação Bancária 2016.17.18'!$D:$D,'Base -Receita-Despesa'!I$5)</f>
        <v>-16686.93</v>
      </c>
      <c r="J37" s="165">
        <f>SUMIFS('Conciliação Bancária 2016.17.18'!$J:$J,'Conciliação Bancária 2016.17.18'!$K:$K,'Base -Receita-Despesa'!$B37,'Conciliação Bancária 2016.17.18'!$D:$D,'Base -Receita-Despesa'!J$5)</f>
        <v>-19719</v>
      </c>
      <c r="K37" s="165">
        <f>SUMIFS('Conciliação Bancária 2016.17.18'!$J:$J,'Conciliação Bancária 2016.17.18'!$K:$K,'Base -Receita-Despesa'!$B37,'Conciliação Bancária 2016.17.18'!$D:$D,'Base -Receita-Despesa'!K$5)</f>
        <v>0</v>
      </c>
      <c r="L37" s="165">
        <f>SUMIFS('Conciliação Bancária 2016.17.18'!$J:$J,'Conciliação Bancária 2016.17.18'!$K:$K,'Base -Receita-Despesa'!$B37,'Conciliação Bancária 2016.17.18'!$D:$D,'Base -Receita-Despesa'!L$5)</f>
        <v>0</v>
      </c>
      <c r="M37" s="165">
        <f>SUMIFS('Conciliação Bancária 2016.17.18'!$J:$J,'Conciliação Bancária 2016.17.18'!$K:$K,'Base -Receita-Despesa'!$B37,'Conciliação Bancária 2016.17.18'!$D:$D,'Base -Receita-Despesa'!M$5)</f>
        <v>0</v>
      </c>
      <c r="N37" s="192">
        <f>SUMIFS('Conciliação Bancária 2016.17.18'!$J:$J,'Conciliação Bancária 2016.17.18'!$K:$K,'Base -Receita-Despesa'!$B37,'Conciliação Bancária 2016.17.18'!$D:$D,'Base -Receita-Despesa'!N$5)</f>
        <v>0</v>
      </c>
      <c r="O37" s="199">
        <f t="shared" si="6"/>
        <v>-167553.4</v>
      </c>
      <c r="P37" s="175"/>
    </row>
    <row r="38" spans="2:16" s="166" customFormat="1" outlineLevel="1" x14ac:dyDescent="0.3">
      <c r="B38" s="209" t="s">
        <v>79</v>
      </c>
      <c r="C38" s="184">
        <f>SUMIFS('Conciliação Bancária 2016.17.18'!$J:$J,'Conciliação Bancária 2016.17.18'!$K:$K,'Base -Receita-Despesa'!$B38,'Conciliação Bancária 2016.17.18'!$D:$D,'Base -Receita-Despesa'!C$5)</f>
        <v>0</v>
      </c>
      <c r="D38" s="165">
        <f>SUMIFS('Conciliação Bancária 2016.17.18'!$J:$J,'Conciliação Bancária 2016.17.18'!$K:$K,'Base -Receita-Despesa'!$B38,'Conciliação Bancária 2016.17.18'!$D:$D,'Base -Receita-Despesa'!D$5)</f>
        <v>-5279.1900000000005</v>
      </c>
      <c r="E38" s="165">
        <f>SUMIFS('Conciliação Bancária 2016.17.18'!$J:$J,'Conciliação Bancária 2016.17.18'!$K:$K,'Base -Receita-Despesa'!$B38,'Conciliação Bancária 2016.17.18'!$D:$D,'Base -Receita-Despesa'!E$5)</f>
        <v>0</v>
      </c>
      <c r="F38" s="165">
        <f>SUMIFS('Conciliação Bancária 2016.17.18'!$J:$J,'Conciliação Bancária 2016.17.18'!$K:$K,'Base -Receita-Despesa'!$B38,'Conciliação Bancária 2016.17.18'!$D:$D,'Base -Receita-Despesa'!F$5)</f>
        <v>0</v>
      </c>
      <c r="G38" s="165">
        <f>SUMIFS('Conciliação Bancária 2016.17.18'!$J:$J,'Conciliação Bancária 2016.17.18'!$K:$K,'Base -Receita-Despesa'!$B38,'Conciliação Bancária 2016.17.18'!$D:$D,'Base -Receita-Despesa'!G$5)</f>
        <v>-8214.84</v>
      </c>
      <c r="H38" s="165">
        <f>SUMIFS('Conciliação Bancária 2016.17.18'!$J:$J,'Conciliação Bancária 2016.17.18'!$K:$K,'Base -Receita-Despesa'!$B38,'Conciliação Bancária 2016.17.18'!$D:$D,'Base -Receita-Despesa'!H$5)</f>
        <v>-177</v>
      </c>
      <c r="I38" s="165">
        <f>SUMIFS('Conciliação Bancária 2016.17.18'!$J:$J,'Conciliação Bancária 2016.17.18'!$K:$K,'Base -Receita-Despesa'!$B38,'Conciliação Bancária 2016.17.18'!$D:$D,'Base -Receita-Despesa'!I$5)</f>
        <v>-125.5</v>
      </c>
      <c r="J38" s="165">
        <f>SUMIFS('Conciliação Bancária 2016.17.18'!$J:$J,'Conciliação Bancária 2016.17.18'!$K:$K,'Base -Receita-Despesa'!$B38,'Conciliação Bancária 2016.17.18'!$D:$D,'Base -Receita-Despesa'!J$5)</f>
        <v>-9552.67</v>
      </c>
      <c r="K38" s="165">
        <f>SUMIFS('Conciliação Bancária 2016.17.18'!$J:$J,'Conciliação Bancária 2016.17.18'!$K:$K,'Base -Receita-Despesa'!$B38,'Conciliação Bancária 2016.17.18'!$D:$D,'Base -Receita-Despesa'!K$5)</f>
        <v>0</v>
      </c>
      <c r="L38" s="165">
        <f>SUMIFS('Conciliação Bancária 2016.17.18'!$J:$J,'Conciliação Bancária 2016.17.18'!$K:$K,'Base -Receita-Despesa'!$B38,'Conciliação Bancária 2016.17.18'!$D:$D,'Base -Receita-Despesa'!L$5)</f>
        <v>0</v>
      </c>
      <c r="M38" s="165">
        <f>SUMIFS('Conciliação Bancária 2016.17.18'!$J:$J,'Conciliação Bancária 2016.17.18'!$K:$K,'Base -Receita-Despesa'!$B38,'Conciliação Bancária 2016.17.18'!$D:$D,'Base -Receita-Despesa'!M$5)</f>
        <v>0</v>
      </c>
      <c r="N38" s="192">
        <f>SUMIFS('Conciliação Bancária 2016.17.18'!$J:$J,'Conciliação Bancária 2016.17.18'!$K:$K,'Base -Receita-Despesa'!$B38,'Conciliação Bancária 2016.17.18'!$D:$D,'Base -Receita-Despesa'!N$5)</f>
        <v>0</v>
      </c>
      <c r="O38" s="199">
        <f t="shared" si="6"/>
        <v>-23349.200000000001</v>
      </c>
      <c r="P38" s="175"/>
    </row>
    <row r="39" spans="2:16" s="166" customFormat="1" outlineLevel="1" x14ac:dyDescent="0.3">
      <c r="B39" s="209" t="s">
        <v>80</v>
      </c>
      <c r="C39" s="184">
        <f>SUMIFS('Conciliação Bancária 2016.17.18'!$J:$J,'Conciliação Bancária 2016.17.18'!$K:$K,'Base -Receita-Despesa'!$B39,'Conciliação Bancária 2016.17.18'!$D:$D,'Base -Receita-Despesa'!C$5)</f>
        <v>-2213.5599999999995</v>
      </c>
      <c r="D39" s="165">
        <f>SUMIFS('Conciliação Bancária 2016.17.18'!$J:$J,'Conciliação Bancária 2016.17.18'!$K:$K,'Base -Receita-Despesa'!$B39,'Conciliação Bancária 2016.17.18'!$D:$D,'Base -Receita-Despesa'!D$5)</f>
        <v>-2297.0399999999981</v>
      </c>
      <c r="E39" s="165">
        <f>SUMIFS('Conciliação Bancária 2016.17.18'!$J:$J,'Conciliação Bancária 2016.17.18'!$K:$K,'Base -Receita-Despesa'!$B39,'Conciliação Bancária 2016.17.18'!$D:$D,'Base -Receita-Despesa'!E$5)</f>
        <v>-2179.7799999999988</v>
      </c>
      <c r="F39" s="165">
        <f>SUMIFS('Conciliação Bancária 2016.17.18'!$J:$J,'Conciliação Bancária 2016.17.18'!$K:$K,'Base -Receita-Despesa'!$B39,'Conciliação Bancária 2016.17.18'!$D:$D,'Base -Receita-Despesa'!F$5)</f>
        <v>-2178.0399999999995</v>
      </c>
      <c r="G39" s="165">
        <f>SUMIFS('Conciliação Bancária 2016.17.18'!$J:$J,'Conciliação Bancária 2016.17.18'!$K:$K,'Base -Receita-Despesa'!$B39,'Conciliação Bancária 2016.17.18'!$D:$D,'Base -Receita-Despesa'!G$5)</f>
        <v>-5266.2699999999923</v>
      </c>
      <c r="H39" s="165">
        <f>SUMIFS('Conciliação Bancária 2016.17.18'!$J:$J,'Conciliação Bancária 2016.17.18'!$K:$K,'Base -Receita-Despesa'!$B39,'Conciliação Bancária 2016.17.18'!$D:$D,'Base -Receita-Despesa'!H$5)</f>
        <v>-2821.1699999999933</v>
      </c>
      <c r="I39" s="165">
        <f>SUMIFS('Conciliação Bancária 2016.17.18'!$J:$J,'Conciliação Bancária 2016.17.18'!$K:$K,'Base -Receita-Despesa'!$B39,'Conciliação Bancária 2016.17.18'!$D:$D,'Base -Receita-Despesa'!I$5)</f>
        <v>-2158.81</v>
      </c>
      <c r="J39" s="165">
        <f>SUMIFS('Conciliação Bancária 2016.17.18'!$J:$J,'Conciliação Bancária 2016.17.18'!$K:$K,'Base -Receita-Despesa'!$B39,'Conciliação Bancária 2016.17.18'!$D:$D,'Base -Receita-Despesa'!J$5)</f>
        <v>-1732.3699999999997</v>
      </c>
      <c r="K39" s="165">
        <f>SUMIFS('Conciliação Bancária 2016.17.18'!$J:$J,'Conciliação Bancária 2016.17.18'!$K:$K,'Base -Receita-Despesa'!$B39,'Conciliação Bancária 2016.17.18'!$D:$D,'Base -Receita-Despesa'!K$5)</f>
        <v>0</v>
      </c>
      <c r="L39" s="165">
        <f>SUMIFS('Conciliação Bancária 2016.17.18'!$J:$J,'Conciliação Bancária 2016.17.18'!$K:$K,'Base -Receita-Despesa'!$B39,'Conciliação Bancária 2016.17.18'!$D:$D,'Base -Receita-Despesa'!L$5)</f>
        <v>0</v>
      </c>
      <c r="M39" s="165">
        <f>SUMIFS('Conciliação Bancária 2016.17.18'!$J:$J,'Conciliação Bancária 2016.17.18'!$K:$K,'Base -Receita-Despesa'!$B39,'Conciliação Bancária 2016.17.18'!$D:$D,'Base -Receita-Despesa'!M$5)</f>
        <v>0</v>
      </c>
      <c r="N39" s="192">
        <f>SUMIFS('Conciliação Bancária 2016.17.18'!$J:$J,'Conciliação Bancária 2016.17.18'!$K:$K,'Base -Receita-Despesa'!$B39,'Conciliação Bancária 2016.17.18'!$D:$D,'Base -Receita-Despesa'!N$5)</f>
        <v>0</v>
      </c>
      <c r="O39" s="199">
        <f t="shared" si="6"/>
        <v>-20847.039999999983</v>
      </c>
      <c r="P39" s="175"/>
    </row>
    <row r="40" spans="2:16" s="166" customFormat="1" outlineLevel="1" x14ac:dyDescent="0.3">
      <c r="B40" s="209" t="s">
        <v>81</v>
      </c>
      <c r="C40" s="184">
        <f>SUMIFS('Conciliação Bancária 2016.17.18'!$J:$J,'Conciliação Bancária 2016.17.18'!$K:$K,'Base -Receita-Despesa'!$B40,'Conciliação Bancária 2016.17.18'!$D:$D,'Base -Receita-Despesa'!C$5)</f>
        <v>0</v>
      </c>
      <c r="D40" s="165">
        <f>SUMIFS('Conciliação Bancária 2016.17.18'!$J:$J,'Conciliação Bancária 2016.17.18'!$K:$K,'Base -Receita-Despesa'!$B40,'Conciliação Bancária 2016.17.18'!$D:$D,'Base -Receita-Despesa'!D$5)</f>
        <v>0</v>
      </c>
      <c r="E40" s="165">
        <f>SUMIFS('Conciliação Bancária 2016.17.18'!$J:$J,'Conciliação Bancária 2016.17.18'!$K:$K,'Base -Receita-Despesa'!$B40,'Conciliação Bancária 2016.17.18'!$D:$D,'Base -Receita-Despesa'!E$5)</f>
        <v>0</v>
      </c>
      <c r="F40" s="165">
        <f>SUMIFS('Conciliação Bancária 2016.17.18'!$J:$J,'Conciliação Bancária 2016.17.18'!$K:$K,'Base -Receita-Despesa'!$B40,'Conciliação Bancária 2016.17.18'!$D:$D,'Base -Receita-Despesa'!F$5)</f>
        <v>0</v>
      </c>
      <c r="G40" s="165">
        <f>SUMIFS('Conciliação Bancária 2016.17.18'!$J:$J,'Conciliação Bancária 2016.17.18'!$K:$K,'Base -Receita-Despesa'!$B40,'Conciliação Bancária 2016.17.18'!$D:$D,'Base -Receita-Despesa'!G$5)</f>
        <v>0</v>
      </c>
      <c r="H40" s="165">
        <f>SUMIFS('Conciliação Bancária 2016.17.18'!$J:$J,'Conciliação Bancária 2016.17.18'!$K:$K,'Base -Receita-Despesa'!$B40,'Conciliação Bancária 2016.17.18'!$D:$D,'Base -Receita-Despesa'!H$5)</f>
        <v>0</v>
      </c>
      <c r="I40" s="165">
        <f>SUMIFS('Conciliação Bancária 2016.17.18'!$J:$J,'Conciliação Bancária 2016.17.18'!$K:$K,'Base -Receita-Despesa'!$B40,'Conciliação Bancária 2016.17.18'!$D:$D,'Base -Receita-Despesa'!I$5)</f>
        <v>0</v>
      </c>
      <c r="J40" s="165">
        <f>SUMIFS('Conciliação Bancária 2016.17.18'!$J:$J,'Conciliação Bancária 2016.17.18'!$K:$K,'Base -Receita-Despesa'!$B40,'Conciliação Bancária 2016.17.18'!$D:$D,'Base -Receita-Despesa'!J$5)</f>
        <v>0</v>
      </c>
      <c r="K40" s="165">
        <f>SUMIFS('Conciliação Bancária 2016.17.18'!$J:$J,'Conciliação Bancária 2016.17.18'!$K:$K,'Base -Receita-Despesa'!$B40,'Conciliação Bancária 2016.17.18'!$D:$D,'Base -Receita-Despesa'!K$5)</f>
        <v>0</v>
      </c>
      <c r="L40" s="165">
        <f>SUMIFS('Conciliação Bancária 2016.17.18'!$J:$J,'Conciliação Bancária 2016.17.18'!$K:$K,'Base -Receita-Despesa'!$B40,'Conciliação Bancária 2016.17.18'!$D:$D,'Base -Receita-Despesa'!L$5)</f>
        <v>0</v>
      </c>
      <c r="M40" s="165">
        <f>SUMIFS('Conciliação Bancária 2016.17.18'!$J:$J,'Conciliação Bancária 2016.17.18'!$K:$K,'Base -Receita-Despesa'!$B40,'Conciliação Bancária 2016.17.18'!$D:$D,'Base -Receita-Despesa'!M$5)</f>
        <v>0</v>
      </c>
      <c r="N40" s="192">
        <f>SUMIFS('Conciliação Bancária 2016.17.18'!$J:$J,'Conciliação Bancária 2016.17.18'!$K:$K,'Base -Receita-Despesa'!$B40,'Conciliação Bancária 2016.17.18'!$D:$D,'Base -Receita-Despesa'!N$5)</f>
        <v>0</v>
      </c>
      <c r="O40" s="199">
        <f t="shared" si="6"/>
        <v>0</v>
      </c>
      <c r="P40" s="175"/>
    </row>
    <row r="41" spans="2:16" s="166" customFormat="1" outlineLevel="1" x14ac:dyDescent="0.3">
      <c r="B41" s="209" t="s">
        <v>13</v>
      </c>
      <c r="C41" s="184">
        <f>SUMIFS('Conciliação Bancária 2016.17.18'!$J:$J,'Conciliação Bancária 2016.17.18'!$K:$K,'Base -Receita-Despesa'!$B41,'Conciliação Bancária 2016.17.18'!$D:$D,'Base -Receita-Despesa'!C$5)</f>
        <v>-80593.01999999999</v>
      </c>
      <c r="D41" s="165">
        <f>SUMIFS('Conciliação Bancária 2016.17.18'!$J:$J,'Conciliação Bancária 2016.17.18'!$K:$K,'Base -Receita-Despesa'!$B41,'Conciliação Bancária 2016.17.18'!$D:$D,'Base -Receita-Despesa'!D$5)</f>
        <v>-10005.470000000001</v>
      </c>
      <c r="E41" s="165">
        <f>SUMIFS('Conciliação Bancária 2016.17.18'!$J:$J,'Conciliação Bancária 2016.17.18'!$K:$K,'Base -Receita-Despesa'!$B41,'Conciliação Bancária 2016.17.18'!$D:$D,'Base -Receita-Despesa'!E$5)</f>
        <v>-191.62</v>
      </c>
      <c r="F41" s="165">
        <f>SUMIFS('Conciliação Bancária 2016.17.18'!$J:$J,'Conciliação Bancária 2016.17.18'!$K:$K,'Base -Receita-Despesa'!$B41,'Conciliação Bancária 2016.17.18'!$D:$D,'Base -Receita-Despesa'!F$5)</f>
        <v>-13718.01</v>
      </c>
      <c r="G41" s="165">
        <f>SUMIFS('Conciliação Bancária 2016.17.18'!$J:$J,'Conciliação Bancária 2016.17.18'!$K:$K,'Base -Receita-Despesa'!$B41,'Conciliação Bancária 2016.17.18'!$D:$D,'Base -Receita-Despesa'!G$5)</f>
        <v>-18439.539999999997</v>
      </c>
      <c r="H41" s="165">
        <f>SUMIFS('Conciliação Bancária 2016.17.18'!$J:$J,'Conciliação Bancária 2016.17.18'!$K:$K,'Base -Receita-Despesa'!$B41,'Conciliação Bancária 2016.17.18'!$D:$D,'Base -Receita-Despesa'!H$5)</f>
        <v>-15344.670000000002</v>
      </c>
      <c r="I41" s="165">
        <f>SUMIFS('Conciliação Bancária 2016.17.18'!$J:$J,'Conciliação Bancária 2016.17.18'!$K:$K,'Base -Receita-Despesa'!$B41,'Conciliação Bancária 2016.17.18'!$D:$D,'Base -Receita-Despesa'!I$5)</f>
        <v>-120020.72</v>
      </c>
      <c r="J41" s="165">
        <f>SUMIFS('Conciliação Bancária 2016.17.18'!$J:$J,'Conciliação Bancária 2016.17.18'!$K:$K,'Base -Receita-Despesa'!$B41,'Conciliação Bancária 2016.17.18'!$D:$D,'Base -Receita-Despesa'!J$5)</f>
        <v>-3029.4500000000003</v>
      </c>
      <c r="K41" s="165">
        <f>SUMIFS('Conciliação Bancária 2016.17.18'!$J:$J,'Conciliação Bancária 2016.17.18'!$K:$K,'Base -Receita-Despesa'!$B41,'Conciliação Bancária 2016.17.18'!$D:$D,'Base -Receita-Despesa'!K$5)</f>
        <v>0</v>
      </c>
      <c r="L41" s="165">
        <f>SUMIFS('Conciliação Bancária 2016.17.18'!$J:$J,'Conciliação Bancária 2016.17.18'!$K:$K,'Base -Receita-Despesa'!$B41,'Conciliação Bancária 2016.17.18'!$D:$D,'Base -Receita-Despesa'!L$5)</f>
        <v>0</v>
      </c>
      <c r="M41" s="165">
        <f>SUMIFS('Conciliação Bancária 2016.17.18'!$J:$J,'Conciliação Bancária 2016.17.18'!$K:$K,'Base -Receita-Despesa'!$B41,'Conciliação Bancária 2016.17.18'!$D:$D,'Base -Receita-Despesa'!M$5)</f>
        <v>0</v>
      </c>
      <c r="N41" s="192">
        <f>SUMIFS('Conciliação Bancária 2016.17.18'!$J:$J,'Conciliação Bancária 2016.17.18'!$K:$K,'Base -Receita-Despesa'!$B41,'Conciliação Bancária 2016.17.18'!$D:$D,'Base -Receita-Despesa'!N$5)</f>
        <v>0</v>
      </c>
      <c r="O41" s="199">
        <f t="shared" si="6"/>
        <v>-261342.5</v>
      </c>
      <c r="P41" s="175"/>
    </row>
    <row r="42" spans="2:16" s="166" customFormat="1" outlineLevel="1" x14ac:dyDescent="0.3">
      <c r="B42" s="209" t="s">
        <v>82</v>
      </c>
      <c r="C42" s="184">
        <f>SUMIFS('Conciliação Bancária 2016.17.18'!$J:$J,'Conciliação Bancária 2016.17.18'!$K:$K,'Base -Receita-Despesa'!$B42,'Conciliação Bancária 2016.17.18'!$D:$D,'Base -Receita-Despesa'!C$5)</f>
        <v>0</v>
      </c>
      <c r="D42" s="165">
        <f>SUMIFS('Conciliação Bancária 2016.17.18'!$J:$J,'Conciliação Bancária 2016.17.18'!$K:$K,'Base -Receita-Despesa'!$B42,'Conciliação Bancária 2016.17.18'!$D:$D,'Base -Receita-Despesa'!D$5)</f>
        <v>0</v>
      </c>
      <c r="E42" s="165">
        <f>SUMIFS('Conciliação Bancária 2016.17.18'!$J:$J,'Conciliação Bancária 2016.17.18'!$K:$K,'Base -Receita-Despesa'!$B42,'Conciliação Bancária 2016.17.18'!$D:$D,'Base -Receita-Despesa'!E$5)</f>
        <v>0</v>
      </c>
      <c r="F42" s="165">
        <f>SUMIFS('Conciliação Bancária 2016.17.18'!$J:$J,'Conciliação Bancária 2016.17.18'!$K:$K,'Base -Receita-Despesa'!$B42,'Conciliação Bancária 2016.17.18'!$D:$D,'Base -Receita-Despesa'!F$5)</f>
        <v>0</v>
      </c>
      <c r="G42" s="165">
        <f>SUMIFS('Conciliação Bancária 2016.17.18'!$J:$J,'Conciliação Bancária 2016.17.18'!$K:$K,'Base -Receita-Despesa'!$B42,'Conciliação Bancária 2016.17.18'!$D:$D,'Base -Receita-Despesa'!G$5)</f>
        <v>0</v>
      </c>
      <c r="H42" s="165">
        <f>SUMIFS('Conciliação Bancária 2016.17.18'!$J:$J,'Conciliação Bancária 2016.17.18'!$K:$K,'Base -Receita-Despesa'!$B42,'Conciliação Bancária 2016.17.18'!$D:$D,'Base -Receita-Despesa'!H$5)</f>
        <v>0</v>
      </c>
      <c r="I42" s="165">
        <f>SUMIFS('Conciliação Bancária 2016.17.18'!$J:$J,'Conciliação Bancária 2016.17.18'!$K:$K,'Base -Receita-Despesa'!$B42,'Conciliação Bancária 2016.17.18'!$D:$D,'Base -Receita-Despesa'!I$5)</f>
        <v>0</v>
      </c>
      <c r="J42" s="165">
        <f>SUMIFS('Conciliação Bancária 2016.17.18'!$J:$J,'Conciliação Bancária 2016.17.18'!$K:$K,'Base -Receita-Despesa'!$B42,'Conciliação Bancária 2016.17.18'!$D:$D,'Base -Receita-Despesa'!J$5)</f>
        <v>0</v>
      </c>
      <c r="K42" s="165">
        <f>SUMIFS('Conciliação Bancária 2016.17.18'!$J:$J,'Conciliação Bancária 2016.17.18'!$K:$K,'Base -Receita-Despesa'!$B42,'Conciliação Bancária 2016.17.18'!$D:$D,'Base -Receita-Despesa'!K$5)</f>
        <v>0</v>
      </c>
      <c r="L42" s="165">
        <f>SUMIFS('Conciliação Bancária 2016.17.18'!$J:$J,'Conciliação Bancária 2016.17.18'!$K:$K,'Base -Receita-Despesa'!$B42,'Conciliação Bancária 2016.17.18'!$D:$D,'Base -Receita-Despesa'!L$5)</f>
        <v>0</v>
      </c>
      <c r="M42" s="165">
        <f>SUMIFS('Conciliação Bancária 2016.17.18'!$J:$J,'Conciliação Bancária 2016.17.18'!$K:$K,'Base -Receita-Despesa'!$B42,'Conciliação Bancária 2016.17.18'!$D:$D,'Base -Receita-Despesa'!M$5)</f>
        <v>0</v>
      </c>
      <c r="N42" s="192">
        <f>SUMIFS('Conciliação Bancária 2016.17.18'!$J:$J,'Conciliação Bancária 2016.17.18'!$K:$K,'Base -Receita-Despesa'!$B42,'Conciliação Bancária 2016.17.18'!$D:$D,'Base -Receita-Despesa'!N$5)</f>
        <v>0</v>
      </c>
      <c r="O42" s="199">
        <f t="shared" si="6"/>
        <v>0</v>
      </c>
      <c r="P42" s="175"/>
    </row>
    <row r="43" spans="2:16" s="166" customFormat="1" outlineLevel="1" x14ac:dyDescent="0.3">
      <c r="B43" s="209" t="s">
        <v>83</v>
      </c>
      <c r="C43" s="184">
        <f>SUMIFS('Conciliação Bancária 2016.17.18'!$J:$J,'Conciliação Bancária 2016.17.18'!$K:$K,'Base -Receita-Despesa'!$B43,'Conciliação Bancária 2016.17.18'!$D:$D,'Base -Receita-Despesa'!C$5)</f>
        <v>0</v>
      </c>
      <c r="D43" s="165">
        <f>SUMIFS('Conciliação Bancária 2016.17.18'!$J:$J,'Conciliação Bancária 2016.17.18'!$K:$K,'Base -Receita-Despesa'!$B43,'Conciliação Bancária 2016.17.18'!$D:$D,'Base -Receita-Despesa'!D$5)</f>
        <v>-10120.59</v>
      </c>
      <c r="E43" s="165">
        <f>SUMIFS('Conciliação Bancária 2016.17.18'!$J:$J,'Conciliação Bancária 2016.17.18'!$K:$K,'Base -Receita-Despesa'!$B43,'Conciliação Bancária 2016.17.18'!$D:$D,'Base -Receita-Despesa'!E$5)</f>
        <v>-873.6</v>
      </c>
      <c r="F43" s="165">
        <f>SUMIFS('Conciliação Bancária 2016.17.18'!$J:$J,'Conciliação Bancária 2016.17.18'!$K:$K,'Base -Receita-Despesa'!$B43,'Conciliação Bancária 2016.17.18'!$D:$D,'Base -Receita-Despesa'!F$5)</f>
        <v>-2065.4</v>
      </c>
      <c r="G43" s="165">
        <f>SUMIFS('Conciliação Bancária 2016.17.18'!$J:$J,'Conciliação Bancária 2016.17.18'!$K:$K,'Base -Receita-Despesa'!$B43,'Conciliação Bancária 2016.17.18'!$D:$D,'Base -Receita-Despesa'!G$5)</f>
        <v>-699.2</v>
      </c>
      <c r="H43" s="165">
        <f>SUMIFS('Conciliação Bancária 2016.17.18'!$J:$J,'Conciliação Bancária 2016.17.18'!$K:$K,'Base -Receita-Despesa'!$B43,'Conciliação Bancária 2016.17.18'!$D:$D,'Base -Receita-Despesa'!H$5)</f>
        <v>-3916.24</v>
      </c>
      <c r="I43" s="165">
        <f>SUMIFS('Conciliação Bancária 2016.17.18'!$J:$J,'Conciliação Bancária 2016.17.18'!$K:$K,'Base -Receita-Despesa'!$B43,'Conciliação Bancária 2016.17.18'!$D:$D,'Base -Receita-Despesa'!I$5)</f>
        <v>-1169.1099999999999</v>
      </c>
      <c r="J43" s="165">
        <f>SUMIFS('Conciliação Bancária 2016.17.18'!$J:$J,'Conciliação Bancária 2016.17.18'!$K:$K,'Base -Receita-Despesa'!$B43,'Conciliação Bancária 2016.17.18'!$D:$D,'Base -Receita-Despesa'!J$5)</f>
        <v>-1488</v>
      </c>
      <c r="K43" s="165">
        <f>SUMIFS('Conciliação Bancária 2016.17.18'!$J:$J,'Conciliação Bancária 2016.17.18'!$K:$K,'Base -Receita-Despesa'!$B43,'Conciliação Bancária 2016.17.18'!$D:$D,'Base -Receita-Despesa'!K$5)</f>
        <v>0</v>
      </c>
      <c r="L43" s="165">
        <f>SUMIFS('Conciliação Bancária 2016.17.18'!$J:$J,'Conciliação Bancária 2016.17.18'!$K:$K,'Base -Receita-Despesa'!$B43,'Conciliação Bancária 2016.17.18'!$D:$D,'Base -Receita-Despesa'!L$5)</f>
        <v>0</v>
      </c>
      <c r="M43" s="165">
        <f>SUMIFS('Conciliação Bancária 2016.17.18'!$J:$J,'Conciliação Bancária 2016.17.18'!$K:$K,'Base -Receita-Despesa'!$B43,'Conciliação Bancária 2016.17.18'!$D:$D,'Base -Receita-Despesa'!M$5)</f>
        <v>0</v>
      </c>
      <c r="N43" s="192">
        <f>SUMIFS('Conciliação Bancária 2016.17.18'!$J:$J,'Conciliação Bancária 2016.17.18'!$K:$K,'Base -Receita-Despesa'!$B43,'Conciliação Bancária 2016.17.18'!$D:$D,'Base -Receita-Despesa'!N$5)</f>
        <v>0</v>
      </c>
      <c r="O43" s="199">
        <f t="shared" si="6"/>
        <v>-20332.14</v>
      </c>
      <c r="P43" s="175"/>
    </row>
    <row r="44" spans="2:16" s="166" customFormat="1" outlineLevel="1" x14ac:dyDescent="0.3">
      <c r="B44" s="209" t="s">
        <v>84</v>
      </c>
      <c r="C44" s="184">
        <f>SUMIFS('Conciliação Bancária 2016.17.18'!$J:$J,'Conciliação Bancária 2016.17.18'!$K:$K,'Base -Receita-Despesa'!$B44,'Conciliação Bancária 2016.17.18'!$D:$D,'Base -Receita-Despesa'!C$5)</f>
        <v>0</v>
      </c>
      <c r="D44" s="165">
        <f>SUMIFS('Conciliação Bancária 2016.17.18'!$J:$J,'Conciliação Bancária 2016.17.18'!$K:$K,'Base -Receita-Despesa'!$B44,'Conciliação Bancária 2016.17.18'!$D:$D,'Base -Receita-Despesa'!D$5)</f>
        <v>0</v>
      </c>
      <c r="E44" s="165">
        <f>SUMIFS('Conciliação Bancária 2016.17.18'!$J:$J,'Conciliação Bancária 2016.17.18'!$K:$K,'Base -Receita-Despesa'!$B44,'Conciliação Bancária 2016.17.18'!$D:$D,'Base -Receita-Despesa'!E$5)</f>
        <v>0</v>
      </c>
      <c r="F44" s="165">
        <f>SUMIFS('Conciliação Bancária 2016.17.18'!$J:$J,'Conciliação Bancária 2016.17.18'!$K:$K,'Base -Receita-Despesa'!$B44,'Conciliação Bancária 2016.17.18'!$D:$D,'Base -Receita-Despesa'!F$5)</f>
        <v>0</v>
      </c>
      <c r="G44" s="165">
        <f>SUMIFS('Conciliação Bancária 2016.17.18'!$J:$J,'Conciliação Bancária 2016.17.18'!$K:$K,'Base -Receita-Despesa'!$B44,'Conciliação Bancária 2016.17.18'!$D:$D,'Base -Receita-Despesa'!G$5)</f>
        <v>0</v>
      </c>
      <c r="H44" s="165">
        <f>SUMIFS('Conciliação Bancária 2016.17.18'!$J:$J,'Conciliação Bancária 2016.17.18'!$K:$K,'Base -Receita-Despesa'!$B44,'Conciliação Bancária 2016.17.18'!$D:$D,'Base -Receita-Despesa'!H$5)</f>
        <v>0</v>
      </c>
      <c r="I44" s="165">
        <f>SUMIFS('Conciliação Bancária 2016.17.18'!$J:$J,'Conciliação Bancária 2016.17.18'!$K:$K,'Base -Receita-Despesa'!$B44,'Conciliação Bancária 2016.17.18'!$D:$D,'Base -Receita-Despesa'!I$5)</f>
        <v>0</v>
      </c>
      <c r="J44" s="165">
        <f>SUMIFS('Conciliação Bancária 2016.17.18'!$J:$J,'Conciliação Bancária 2016.17.18'!$K:$K,'Base -Receita-Despesa'!$B44,'Conciliação Bancária 2016.17.18'!$D:$D,'Base -Receita-Despesa'!J$5)</f>
        <v>0</v>
      </c>
      <c r="K44" s="165">
        <f>SUMIFS('Conciliação Bancária 2016.17.18'!$J:$J,'Conciliação Bancária 2016.17.18'!$K:$K,'Base -Receita-Despesa'!$B44,'Conciliação Bancária 2016.17.18'!$D:$D,'Base -Receita-Despesa'!K$5)</f>
        <v>0</v>
      </c>
      <c r="L44" s="165">
        <f>SUMIFS('Conciliação Bancária 2016.17.18'!$J:$J,'Conciliação Bancária 2016.17.18'!$K:$K,'Base -Receita-Despesa'!$B44,'Conciliação Bancária 2016.17.18'!$D:$D,'Base -Receita-Despesa'!L$5)</f>
        <v>0</v>
      </c>
      <c r="M44" s="165">
        <f>SUMIFS('Conciliação Bancária 2016.17.18'!$J:$J,'Conciliação Bancária 2016.17.18'!$K:$K,'Base -Receita-Despesa'!$B44,'Conciliação Bancária 2016.17.18'!$D:$D,'Base -Receita-Despesa'!M$5)</f>
        <v>0</v>
      </c>
      <c r="N44" s="192">
        <f>SUMIFS('Conciliação Bancária 2016.17.18'!$J:$J,'Conciliação Bancária 2016.17.18'!$K:$K,'Base -Receita-Despesa'!$B44,'Conciliação Bancária 2016.17.18'!$D:$D,'Base -Receita-Despesa'!N$5)</f>
        <v>0</v>
      </c>
      <c r="O44" s="199">
        <f t="shared" si="6"/>
        <v>0</v>
      </c>
      <c r="P44" s="175"/>
    </row>
    <row r="45" spans="2:16" s="166" customFormat="1" outlineLevel="1" x14ac:dyDescent="0.3">
      <c r="B45" s="209" t="s">
        <v>85</v>
      </c>
      <c r="C45" s="184">
        <f>SUMIFS('Conciliação Bancária 2016.17.18'!$J:$J,'Conciliação Bancária 2016.17.18'!$K:$K,'Base -Receita-Despesa'!$B45,'Conciliação Bancária 2016.17.18'!$D:$D,'Base -Receita-Despesa'!C$5)</f>
        <v>0</v>
      </c>
      <c r="D45" s="165">
        <f>SUMIFS('Conciliação Bancária 2016.17.18'!$J:$J,'Conciliação Bancária 2016.17.18'!$K:$K,'Base -Receita-Despesa'!$B45,'Conciliação Bancária 2016.17.18'!$D:$D,'Base -Receita-Despesa'!D$5)</f>
        <v>-2456</v>
      </c>
      <c r="E45" s="165">
        <f>SUMIFS('Conciliação Bancária 2016.17.18'!$J:$J,'Conciliação Bancária 2016.17.18'!$K:$K,'Base -Receita-Despesa'!$B45,'Conciliação Bancária 2016.17.18'!$D:$D,'Base -Receita-Despesa'!E$5)</f>
        <v>0</v>
      </c>
      <c r="F45" s="165">
        <f>SUMIFS('Conciliação Bancária 2016.17.18'!$J:$J,'Conciliação Bancária 2016.17.18'!$K:$K,'Base -Receita-Despesa'!$B45,'Conciliação Bancária 2016.17.18'!$D:$D,'Base -Receita-Despesa'!F$5)</f>
        <v>-1760</v>
      </c>
      <c r="G45" s="165">
        <f>SUMIFS('Conciliação Bancária 2016.17.18'!$J:$J,'Conciliação Bancária 2016.17.18'!$K:$K,'Base -Receita-Despesa'!$B45,'Conciliação Bancária 2016.17.18'!$D:$D,'Base -Receita-Despesa'!G$5)</f>
        <v>-880</v>
      </c>
      <c r="H45" s="165">
        <f>SUMIFS('Conciliação Bancária 2016.17.18'!$J:$J,'Conciliação Bancária 2016.17.18'!$K:$K,'Base -Receita-Despesa'!$B45,'Conciliação Bancária 2016.17.18'!$D:$D,'Base -Receita-Despesa'!H$5)</f>
        <v>-880</v>
      </c>
      <c r="I45" s="165">
        <f>SUMIFS('Conciliação Bancária 2016.17.18'!$J:$J,'Conciliação Bancária 2016.17.18'!$K:$K,'Base -Receita-Despesa'!$B45,'Conciliação Bancária 2016.17.18'!$D:$D,'Base -Receita-Despesa'!I$5)</f>
        <v>-880</v>
      </c>
      <c r="J45" s="165">
        <f>SUMIFS('Conciliação Bancária 2016.17.18'!$J:$J,'Conciliação Bancária 2016.17.18'!$K:$K,'Base -Receita-Despesa'!$B45,'Conciliação Bancária 2016.17.18'!$D:$D,'Base -Receita-Despesa'!J$5)</f>
        <v>-880</v>
      </c>
      <c r="K45" s="165">
        <f>SUMIFS('Conciliação Bancária 2016.17.18'!$J:$J,'Conciliação Bancária 2016.17.18'!$K:$K,'Base -Receita-Despesa'!$B45,'Conciliação Bancária 2016.17.18'!$D:$D,'Base -Receita-Despesa'!K$5)</f>
        <v>0</v>
      </c>
      <c r="L45" s="165">
        <f>SUMIFS('Conciliação Bancária 2016.17.18'!$J:$J,'Conciliação Bancária 2016.17.18'!$K:$K,'Base -Receita-Despesa'!$B45,'Conciliação Bancária 2016.17.18'!$D:$D,'Base -Receita-Despesa'!L$5)</f>
        <v>0</v>
      </c>
      <c r="M45" s="165">
        <f>SUMIFS('Conciliação Bancária 2016.17.18'!$J:$J,'Conciliação Bancária 2016.17.18'!$K:$K,'Base -Receita-Despesa'!$B45,'Conciliação Bancária 2016.17.18'!$D:$D,'Base -Receita-Despesa'!M$5)</f>
        <v>0</v>
      </c>
      <c r="N45" s="192">
        <f>SUMIFS('Conciliação Bancária 2016.17.18'!$J:$J,'Conciliação Bancária 2016.17.18'!$K:$K,'Base -Receita-Despesa'!$B45,'Conciliação Bancária 2016.17.18'!$D:$D,'Base -Receita-Despesa'!N$5)</f>
        <v>0</v>
      </c>
      <c r="O45" s="199">
        <f t="shared" si="6"/>
        <v>-7736</v>
      </c>
      <c r="P45" s="175"/>
    </row>
    <row r="46" spans="2:16" s="166" customFormat="1" outlineLevel="1" x14ac:dyDescent="0.3">
      <c r="B46" s="209" t="s">
        <v>86</v>
      </c>
      <c r="C46" s="184">
        <f>SUMIFS('Conciliação Bancária 2016.17.18'!$J:$J,'Conciliação Bancária 2016.17.18'!$K:$K,'Base -Receita-Despesa'!$B46,'Conciliação Bancária 2016.17.18'!$D:$D,'Base -Receita-Despesa'!C$5)</f>
        <v>0</v>
      </c>
      <c r="D46" s="165">
        <f>SUMIFS('Conciliação Bancária 2016.17.18'!$J:$J,'Conciliação Bancária 2016.17.18'!$K:$K,'Base -Receita-Despesa'!$B46,'Conciliação Bancária 2016.17.18'!$D:$D,'Base -Receita-Despesa'!D$5)</f>
        <v>0</v>
      </c>
      <c r="E46" s="165">
        <f>SUMIFS('Conciliação Bancária 2016.17.18'!$J:$J,'Conciliação Bancária 2016.17.18'!$K:$K,'Base -Receita-Despesa'!$B46,'Conciliação Bancária 2016.17.18'!$D:$D,'Base -Receita-Despesa'!E$5)</f>
        <v>0</v>
      </c>
      <c r="F46" s="165">
        <f>SUMIFS('Conciliação Bancária 2016.17.18'!$J:$J,'Conciliação Bancária 2016.17.18'!$K:$K,'Base -Receita-Despesa'!$B46,'Conciliação Bancária 2016.17.18'!$D:$D,'Base -Receita-Despesa'!F$5)</f>
        <v>0</v>
      </c>
      <c r="G46" s="165">
        <f>SUMIFS('Conciliação Bancária 2016.17.18'!$J:$J,'Conciliação Bancária 2016.17.18'!$K:$K,'Base -Receita-Despesa'!$B46,'Conciliação Bancária 2016.17.18'!$D:$D,'Base -Receita-Despesa'!G$5)</f>
        <v>0</v>
      </c>
      <c r="H46" s="165">
        <f>SUMIFS('Conciliação Bancária 2016.17.18'!$J:$J,'Conciliação Bancária 2016.17.18'!$K:$K,'Base -Receita-Despesa'!$B46,'Conciliação Bancária 2016.17.18'!$D:$D,'Base -Receita-Despesa'!H$5)</f>
        <v>0</v>
      </c>
      <c r="I46" s="165">
        <f>SUMIFS('Conciliação Bancária 2016.17.18'!$J:$J,'Conciliação Bancária 2016.17.18'!$K:$K,'Base -Receita-Despesa'!$B46,'Conciliação Bancária 2016.17.18'!$D:$D,'Base -Receita-Despesa'!I$5)</f>
        <v>0</v>
      </c>
      <c r="J46" s="165">
        <f>SUMIFS('Conciliação Bancária 2016.17.18'!$J:$J,'Conciliação Bancária 2016.17.18'!$K:$K,'Base -Receita-Despesa'!$B46,'Conciliação Bancária 2016.17.18'!$D:$D,'Base -Receita-Despesa'!J$5)</f>
        <v>0</v>
      </c>
      <c r="K46" s="165">
        <f>SUMIFS('Conciliação Bancária 2016.17.18'!$J:$J,'Conciliação Bancária 2016.17.18'!$K:$K,'Base -Receita-Despesa'!$B46,'Conciliação Bancária 2016.17.18'!$D:$D,'Base -Receita-Despesa'!K$5)</f>
        <v>0</v>
      </c>
      <c r="L46" s="165">
        <f>SUMIFS('Conciliação Bancária 2016.17.18'!$J:$J,'Conciliação Bancária 2016.17.18'!$K:$K,'Base -Receita-Despesa'!$B46,'Conciliação Bancária 2016.17.18'!$D:$D,'Base -Receita-Despesa'!L$5)</f>
        <v>0</v>
      </c>
      <c r="M46" s="165">
        <f>SUMIFS('Conciliação Bancária 2016.17.18'!$J:$J,'Conciliação Bancária 2016.17.18'!$K:$K,'Base -Receita-Despesa'!$B46,'Conciliação Bancária 2016.17.18'!$D:$D,'Base -Receita-Despesa'!M$5)</f>
        <v>0</v>
      </c>
      <c r="N46" s="192">
        <f>SUMIFS('Conciliação Bancária 2016.17.18'!$J:$J,'Conciliação Bancária 2016.17.18'!$K:$K,'Base -Receita-Despesa'!$B46,'Conciliação Bancária 2016.17.18'!$D:$D,'Base -Receita-Despesa'!N$5)</f>
        <v>0</v>
      </c>
      <c r="O46" s="199">
        <f t="shared" si="6"/>
        <v>0</v>
      </c>
      <c r="P46" s="175"/>
    </row>
    <row r="47" spans="2:16" s="166" customFormat="1" outlineLevel="1" x14ac:dyDescent="0.3">
      <c r="B47" s="209" t="s">
        <v>87</v>
      </c>
      <c r="C47" s="184">
        <f>SUMIFS('Conciliação Bancária 2016.17.18'!$J:$J,'Conciliação Bancária 2016.17.18'!$K:$K,'Base -Receita-Despesa'!$B47,'Conciliação Bancária 2016.17.18'!$D:$D,'Base -Receita-Despesa'!C$5)</f>
        <v>-229742.85000000003</v>
      </c>
      <c r="D47" s="165">
        <f>SUMIFS('Conciliação Bancária 2016.17.18'!$J:$J,'Conciliação Bancária 2016.17.18'!$K:$K,'Base -Receita-Despesa'!$B47,'Conciliação Bancária 2016.17.18'!$D:$D,'Base -Receita-Despesa'!D$5)</f>
        <v>-175043.51</v>
      </c>
      <c r="E47" s="165">
        <f>SUMIFS('Conciliação Bancária 2016.17.18'!$J:$J,'Conciliação Bancária 2016.17.18'!$K:$K,'Base -Receita-Despesa'!$B47,'Conciliação Bancária 2016.17.18'!$D:$D,'Base -Receita-Despesa'!E$5)</f>
        <v>-201038.15999999997</v>
      </c>
      <c r="F47" s="165">
        <f>SUMIFS('Conciliação Bancária 2016.17.18'!$J:$J,'Conciliação Bancária 2016.17.18'!$K:$K,'Base -Receita-Despesa'!$B47,'Conciliação Bancária 2016.17.18'!$D:$D,'Base -Receita-Despesa'!F$5)</f>
        <v>-202401.16</v>
      </c>
      <c r="G47" s="165">
        <f>SUMIFS('Conciliação Bancária 2016.17.18'!$J:$J,'Conciliação Bancária 2016.17.18'!$K:$K,'Base -Receita-Despesa'!$B47,'Conciliação Bancária 2016.17.18'!$D:$D,'Base -Receita-Despesa'!G$5)</f>
        <v>-225193.63000000003</v>
      </c>
      <c r="H47" s="165">
        <f>SUMIFS('Conciliação Bancária 2016.17.18'!$J:$J,'Conciliação Bancária 2016.17.18'!$K:$K,'Base -Receita-Despesa'!$B47,'Conciliação Bancária 2016.17.18'!$D:$D,'Base -Receita-Despesa'!H$5)</f>
        <v>-224878.12</v>
      </c>
      <c r="I47" s="165">
        <f>SUMIFS('Conciliação Bancária 2016.17.18'!$J:$J,'Conciliação Bancária 2016.17.18'!$K:$K,'Base -Receita-Despesa'!$B47,'Conciliação Bancária 2016.17.18'!$D:$D,'Base -Receita-Despesa'!I$5)</f>
        <v>-356378.9</v>
      </c>
      <c r="J47" s="165">
        <f>SUMIFS('Conciliação Bancária 2016.17.18'!$J:$J,'Conciliação Bancária 2016.17.18'!$K:$K,'Base -Receita-Despesa'!$B47,'Conciliação Bancária 2016.17.18'!$D:$D,'Base -Receita-Despesa'!J$5)</f>
        <v>-234675.73</v>
      </c>
      <c r="K47" s="165">
        <f>SUMIFS('Conciliação Bancária 2016.17.18'!$J:$J,'Conciliação Bancária 2016.17.18'!$K:$K,'Base -Receita-Despesa'!$B47,'Conciliação Bancária 2016.17.18'!$D:$D,'Base -Receita-Despesa'!K$5)</f>
        <v>0</v>
      </c>
      <c r="L47" s="165">
        <f>SUMIFS('Conciliação Bancária 2016.17.18'!$J:$J,'Conciliação Bancária 2016.17.18'!$K:$K,'Base -Receita-Despesa'!$B47,'Conciliação Bancária 2016.17.18'!$D:$D,'Base -Receita-Despesa'!L$5)</f>
        <v>0</v>
      </c>
      <c r="M47" s="165">
        <f>SUMIFS('Conciliação Bancária 2016.17.18'!$J:$J,'Conciliação Bancária 2016.17.18'!$K:$K,'Base -Receita-Despesa'!$B47,'Conciliação Bancária 2016.17.18'!$D:$D,'Base -Receita-Despesa'!M$5)</f>
        <v>0</v>
      </c>
      <c r="N47" s="192">
        <f>SUMIFS('Conciliação Bancária 2016.17.18'!$J:$J,'Conciliação Bancária 2016.17.18'!$K:$K,'Base -Receita-Despesa'!$B47,'Conciliação Bancária 2016.17.18'!$D:$D,'Base -Receita-Despesa'!N$5)</f>
        <v>0</v>
      </c>
      <c r="O47" s="199">
        <f t="shared" si="6"/>
        <v>-1849352.06</v>
      </c>
      <c r="P47" s="175"/>
    </row>
    <row r="48" spans="2:16" outlineLevel="1" x14ac:dyDescent="0.3">
      <c r="B48" s="205" t="s">
        <v>88</v>
      </c>
      <c r="C48" s="183">
        <f>SUMIFS('Conciliação Bancária 2016.17.18'!$J:$J,'Conciliação Bancária 2016.17.18'!$K:$K,'Base -Receita-Despesa'!$B48,'Conciliação Bancária 2016.17.18'!$D:$D,'Base -Receita-Despesa'!C$5)</f>
        <v>0</v>
      </c>
      <c r="D48" s="134">
        <f>SUMIFS('Conciliação Bancária 2016.17.18'!$J:$J,'Conciliação Bancária 2016.17.18'!$K:$K,'Base -Receita-Despesa'!$B48,'Conciliação Bancária 2016.17.18'!$D:$D,'Base -Receita-Despesa'!D$5)</f>
        <v>0</v>
      </c>
      <c r="E48" s="134">
        <f>SUMIFS('Conciliação Bancária 2016.17.18'!$J:$J,'Conciliação Bancária 2016.17.18'!$K:$K,'Base -Receita-Despesa'!$B48,'Conciliação Bancária 2016.17.18'!$D:$D,'Base -Receita-Despesa'!E$5)</f>
        <v>0</v>
      </c>
      <c r="F48" s="134">
        <f>SUMIFS('Conciliação Bancária 2016.17.18'!$J:$J,'Conciliação Bancária 2016.17.18'!$K:$K,'Base -Receita-Despesa'!$B48,'Conciliação Bancária 2016.17.18'!$D:$D,'Base -Receita-Despesa'!F$5)</f>
        <v>0</v>
      </c>
      <c r="G48" s="134">
        <f>SUMIFS('Conciliação Bancária 2016.17.18'!$J:$J,'Conciliação Bancária 2016.17.18'!$K:$K,'Base -Receita-Despesa'!$B48,'Conciliação Bancária 2016.17.18'!$D:$D,'Base -Receita-Despesa'!G$5)</f>
        <v>0</v>
      </c>
      <c r="H48" s="134">
        <f>SUMIFS('Conciliação Bancária 2016.17.18'!$J:$J,'Conciliação Bancária 2016.17.18'!$K:$K,'Base -Receita-Despesa'!$B48,'Conciliação Bancária 2016.17.18'!$D:$D,'Base -Receita-Despesa'!H$5)</f>
        <v>0</v>
      </c>
      <c r="I48" s="134">
        <f>SUMIFS('Conciliação Bancária 2016.17.18'!$J:$J,'Conciliação Bancária 2016.17.18'!$K:$K,'Base -Receita-Despesa'!$B48,'Conciliação Bancária 2016.17.18'!$D:$D,'Base -Receita-Despesa'!I$5)</f>
        <v>0</v>
      </c>
      <c r="J48" s="134">
        <f>SUMIFS('Conciliação Bancária 2016.17.18'!$J:$J,'Conciliação Bancária 2016.17.18'!$K:$K,'Base -Receita-Despesa'!$B48,'Conciliação Bancária 2016.17.18'!$D:$D,'Base -Receita-Despesa'!J$5)</f>
        <v>0</v>
      </c>
      <c r="K48" s="134">
        <f>SUMIFS('Conciliação Bancária 2016.17.18'!$J:$J,'Conciliação Bancária 2016.17.18'!$K:$K,'Base -Receita-Despesa'!$B48,'Conciliação Bancária 2016.17.18'!$D:$D,'Base -Receita-Despesa'!K$5)</f>
        <v>0</v>
      </c>
      <c r="L48" s="134">
        <f>SUMIFS('Conciliação Bancária 2016.17.18'!$J:$J,'Conciliação Bancária 2016.17.18'!$K:$K,'Base -Receita-Despesa'!$B48,'Conciliação Bancária 2016.17.18'!$D:$D,'Base -Receita-Despesa'!L$5)</f>
        <v>0</v>
      </c>
      <c r="M48" s="134">
        <f>SUMIFS('Conciliação Bancária 2016.17.18'!$J:$J,'Conciliação Bancária 2016.17.18'!$K:$K,'Base -Receita-Despesa'!$B48,'Conciliação Bancária 2016.17.18'!$D:$D,'Base -Receita-Despesa'!M$5)</f>
        <v>0</v>
      </c>
      <c r="N48" s="191">
        <f>SUMIFS('Conciliação Bancária 2016.17.18'!$J:$J,'Conciliação Bancária 2016.17.18'!$K:$K,'Base -Receita-Despesa'!$B48,'Conciliação Bancária 2016.17.18'!$D:$D,'Base -Receita-Despesa'!N$5)</f>
        <v>0</v>
      </c>
      <c r="O48" s="186">
        <f t="shared" si="6"/>
        <v>0</v>
      </c>
      <c r="P48" s="175"/>
    </row>
    <row r="49" spans="2:16" outlineLevel="1" x14ac:dyDescent="0.3">
      <c r="B49" s="205" t="s">
        <v>89</v>
      </c>
      <c r="C49" s="183">
        <f>SUMIFS('Conciliação Bancária 2016.17.18'!$J:$J,'Conciliação Bancária 2016.17.18'!$K:$K,'Base -Receita-Despesa'!$B49,'Conciliação Bancária 2016.17.18'!$D:$D,'Base -Receita-Despesa'!C$5)</f>
        <v>0</v>
      </c>
      <c r="D49" s="134">
        <f>SUMIFS('Conciliação Bancária 2016.17.18'!$J:$J,'Conciliação Bancária 2016.17.18'!$K:$K,'Base -Receita-Despesa'!$B49,'Conciliação Bancária 2016.17.18'!$D:$D,'Base -Receita-Despesa'!D$5)</f>
        <v>0</v>
      </c>
      <c r="E49" s="134">
        <f>SUMIFS('Conciliação Bancária 2016.17.18'!$J:$J,'Conciliação Bancária 2016.17.18'!$K:$K,'Base -Receita-Despesa'!$B49,'Conciliação Bancária 2016.17.18'!$D:$D,'Base -Receita-Despesa'!E$5)</f>
        <v>0</v>
      </c>
      <c r="F49" s="134">
        <f>SUMIFS('Conciliação Bancária 2016.17.18'!$J:$J,'Conciliação Bancária 2016.17.18'!$K:$K,'Base -Receita-Despesa'!$B49,'Conciliação Bancária 2016.17.18'!$D:$D,'Base -Receita-Despesa'!F$5)</f>
        <v>0</v>
      </c>
      <c r="G49" s="134">
        <f>SUMIFS('Conciliação Bancária 2016.17.18'!$J:$J,'Conciliação Bancária 2016.17.18'!$K:$K,'Base -Receita-Despesa'!$B49,'Conciliação Bancária 2016.17.18'!$D:$D,'Base -Receita-Despesa'!G$5)</f>
        <v>0</v>
      </c>
      <c r="H49" s="134">
        <f>SUMIFS('Conciliação Bancária 2016.17.18'!$J:$J,'Conciliação Bancária 2016.17.18'!$K:$K,'Base -Receita-Despesa'!$B49,'Conciliação Bancária 2016.17.18'!$D:$D,'Base -Receita-Despesa'!H$5)</f>
        <v>0</v>
      </c>
      <c r="I49" s="134">
        <f>SUMIFS('Conciliação Bancária 2016.17.18'!$J:$J,'Conciliação Bancária 2016.17.18'!$K:$K,'Base -Receita-Despesa'!$B49,'Conciliação Bancária 2016.17.18'!$D:$D,'Base -Receita-Despesa'!I$5)</f>
        <v>0</v>
      </c>
      <c r="J49" s="134">
        <f>SUMIFS('Conciliação Bancária 2016.17.18'!$J:$J,'Conciliação Bancária 2016.17.18'!$K:$K,'Base -Receita-Despesa'!$B49,'Conciliação Bancária 2016.17.18'!$D:$D,'Base -Receita-Despesa'!J$5)</f>
        <v>0</v>
      </c>
      <c r="K49" s="134">
        <f>SUMIFS('Conciliação Bancária 2016.17.18'!$J:$J,'Conciliação Bancária 2016.17.18'!$K:$K,'Base -Receita-Despesa'!$B49,'Conciliação Bancária 2016.17.18'!$D:$D,'Base -Receita-Despesa'!K$5)</f>
        <v>0</v>
      </c>
      <c r="L49" s="134">
        <f>SUMIFS('Conciliação Bancária 2016.17.18'!$J:$J,'Conciliação Bancária 2016.17.18'!$K:$K,'Base -Receita-Despesa'!$B49,'Conciliação Bancária 2016.17.18'!$D:$D,'Base -Receita-Despesa'!L$5)</f>
        <v>0</v>
      </c>
      <c r="M49" s="134">
        <f>SUMIFS('Conciliação Bancária 2016.17.18'!$J:$J,'Conciliação Bancária 2016.17.18'!$K:$K,'Base -Receita-Despesa'!$B49,'Conciliação Bancária 2016.17.18'!$D:$D,'Base -Receita-Despesa'!M$5)</f>
        <v>0</v>
      </c>
      <c r="N49" s="191">
        <f>SUMIFS('Conciliação Bancária 2016.17.18'!$J:$J,'Conciliação Bancária 2016.17.18'!$K:$K,'Base -Receita-Despesa'!$B49,'Conciliação Bancária 2016.17.18'!$D:$D,'Base -Receita-Despesa'!N$5)</f>
        <v>0</v>
      </c>
      <c r="O49" s="186">
        <f t="shared" si="6"/>
        <v>0</v>
      </c>
      <c r="P49" s="175"/>
    </row>
    <row r="50" spans="2:16" s="116" customFormat="1" x14ac:dyDescent="0.3">
      <c r="B50" s="208" t="s">
        <v>90</v>
      </c>
      <c r="C50" s="137">
        <f>SUM(C33:C49)</f>
        <v>-723255.36999999965</v>
      </c>
      <c r="D50" s="137">
        <f t="shared" ref="D50:O50" si="7">SUM(D33:D49)</f>
        <v>-1276481.3426564115</v>
      </c>
      <c r="E50" s="137">
        <f t="shared" si="7"/>
        <v>-1043828.3600000001</v>
      </c>
      <c r="F50" s="137">
        <f t="shared" si="7"/>
        <v>-1139392.8</v>
      </c>
      <c r="G50" s="137">
        <f t="shared" si="7"/>
        <v>-1585035.44</v>
      </c>
      <c r="H50" s="137">
        <f t="shared" si="7"/>
        <v>-1234415.44</v>
      </c>
      <c r="I50" s="137">
        <f t="shared" si="7"/>
        <v>-1362889.1100000003</v>
      </c>
      <c r="J50" s="137">
        <f t="shared" si="7"/>
        <v>-1161116.9500000002</v>
      </c>
      <c r="K50" s="137">
        <f t="shared" si="7"/>
        <v>0</v>
      </c>
      <c r="L50" s="137">
        <f t="shared" si="7"/>
        <v>0</v>
      </c>
      <c r="M50" s="137">
        <f t="shared" si="7"/>
        <v>0</v>
      </c>
      <c r="N50" s="170">
        <f t="shared" si="7"/>
        <v>0</v>
      </c>
      <c r="O50" s="186">
        <f t="shared" si="7"/>
        <v>-9526414.8126564119</v>
      </c>
      <c r="P50" s="179"/>
    </row>
    <row r="51" spans="2:16" outlineLevel="1" x14ac:dyDescent="0.3">
      <c r="B51" s="205"/>
      <c r="C51" s="123">
        <v>0</v>
      </c>
      <c r="D51" s="124">
        <v>0</v>
      </c>
      <c r="E51" s="124">
        <v>0</v>
      </c>
      <c r="F51" s="124">
        <v>0</v>
      </c>
      <c r="G51" s="124">
        <v>0</v>
      </c>
      <c r="H51" s="124">
        <v>0</v>
      </c>
      <c r="I51" s="124">
        <v>0</v>
      </c>
      <c r="J51" s="124">
        <v>0</v>
      </c>
      <c r="K51" s="124">
        <v>0</v>
      </c>
      <c r="L51" s="124">
        <v>0</v>
      </c>
      <c r="M51" s="124">
        <v>0</v>
      </c>
      <c r="N51" s="167">
        <v>0</v>
      </c>
      <c r="O51" s="200">
        <f>SUM(C51:N51)</f>
        <v>0</v>
      </c>
      <c r="P51" s="175"/>
    </row>
    <row r="52" spans="2:16" outlineLevel="1" x14ac:dyDescent="0.3">
      <c r="B52" s="205"/>
      <c r="C52" s="123">
        <v>0</v>
      </c>
      <c r="D52" s="124">
        <v>0</v>
      </c>
      <c r="E52" s="124">
        <v>0</v>
      </c>
      <c r="F52" s="124">
        <v>0</v>
      </c>
      <c r="G52" s="124">
        <v>0</v>
      </c>
      <c r="H52" s="124">
        <v>0</v>
      </c>
      <c r="I52" s="124">
        <v>0</v>
      </c>
      <c r="J52" s="124">
        <v>0</v>
      </c>
      <c r="K52" s="124">
        <v>0</v>
      </c>
      <c r="L52" s="124">
        <v>0</v>
      </c>
      <c r="M52" s="124">
        <v>0</v>
      </c>
      <c r="N52" s="167">
        <v>0</v>
      </c>
      <c r="O52" s="200">
        <f>SUM(C52:N52)</f>
        <v>0</v>
      </c>
      <c r="P52" s="175"/>
    </row>
    <row r="53" spans="2:16" s="116" customFormat="1" x14ac:dyDescent="0.3">
      <c r="B53" s="206" t="s">
        <v>91</v>
      </c>
      <c r="C53" s="137">
        <f t="shared" ref="C53:O53" si="8">SUM(C50:C52)</f>
        <v>-723255.36999999965</v>
      </c>
      <c r="D53" s="136">
        <f t="shared" si="8"/>
        <v>-1276481.3426564115</v>
      </c>
      <c r="E53" s="136">
        <f t="shared" si="8"/>
        <v>-1043828.3600000001</v>
      </c>
      <c r="F53" s="136">
        <f t="shared" si="8"/>
        <v>-1139392.8</v>
      </c>
      <c r="G53" s="136">
        <f t="shared" si="8"/>
        <v>-1585035.44</v>
      </c>
      <c r="H53" s="136">
        <f t="shared" si="8"/>
        <v>-1234415.44</v>
      </c>
      <c r="I53" s="136">
        <f t="shared" si="8"/>
        <v>-1362889.1100000003</v>
      </c>
      <c r="J53" s="136">
        <f t="shared" si="8"/>
        <v>-1161116.9500000002</v>
      </c>
      <c r="K53" s="136">
        <f t="shared" si="8"/>
        <v>0</v>
      </c>
      <c r="L53" s="136">
        <f t="shared" si="8"/>
        <v>0</v>
      </c>
      <c r="M53" s="136">
        <f t="shared" si="8"/>
        <v>0</v>
      </c>
      <c r="N53" s="135">
        <f t="shared" si="8"/>
        <v>0</v>
      </c>
      <c r="O53" s="186">
        <f t="shared" si="8"/>
        <v>-9526414.8126564119</v>
      </c>
      <c r="P53" s="179"/>
    </row>
    <row r="54" spans="2:16" x14ac:dyDescent="0.3">
      <c r="B54" s="210"/>
      <c r="C54" s="269" t="s">
        <v>92</v>
      </c>
      <c r="D54" s="269"/>
      <c r="E54" s="269"/>
      <c r="F54" s="269"/>
      <c r="G54" s="269"/>
      <c r="H54" s="269"/>
      <c r="I54" s="269"/>
      <c r="J54" s="269"/>
      <c r="K54" s="269"/>
      <c r="L54" s="269"/>
      <c r="M54" s="269"/>
      <c r="N54" s="270"/>
      <c r="O54" s="212"/>
    </row>
    <row r="55" spans="2:16" outlineLevel="1" x14ac:dyDescent="0.3">
      <c r="B55" s="205" t="s">
        <v>93</v>
      </c>
      <c r="C55" s="183">
        <f>SUMIFS('Conciliação Bancária 2016.17.18'!$J:$J,'Conciliação Bancária 2016.17.18'!$K:$K,'Base -Receita-Despesa'!$B55,'Conciliação Bancária 2016.17.18'!$D:$D,'Base -Receita-Despesa'!C$5)</f>
        <v>0</v>
      </c>
      <c r="D55" s="134">
        <f>SUMIFS('Conciliação Bancária 2016.17.18'!$J:$J,'Conciliação Bancária 2016.17.18'!$K:$K,'Base -Receita-Despesa'!$B55,'Conciliação Bancária 2016.17.18'!$D:$D,'Base -Receita-Despesa'!D$5)</f>
        <v>0</v>
      </c>
      <c r="E55" s="134">
        <f>SUMIFS('Conciliação Bancária 2016.17.18'!$J:$J,'Conciliação Bancária 2016.17.18'!$K:$K,'Base -Receita-Despesa'!$B55,'Conciliação Bancária 2016.17.18'!$D:$D,'Base -Receita-Despesa'!E$5)</f>
        <v>0</v>
      </c>
      <c r="F55" s="134">
        <f>SUMIFS('Conciliação Bancária 2016.17.18'!$J:$J,'Conciliação Bancária 2016.17.18'!$K:$K,'Base -Receita-Despesa'!$B55,'Conciliação Bancária 2016.17.18'!$D:$D,'Base -Receita-Despesa'!F$5)</f>
        <v>0</v>
      </c>
      <c r="G55" s="134">
        <f>SUMIFS('Conciliação Bancária 2016.17.18'!$J:$J,'Conciliação Bancária 2016.17.18'!$K:$K,'Base -Receita-Despesa'!$B55,'Conciliação Bancária 2016.17.18'!$D:$D,'Base -Receita-Despesa'!G$5)</f>
        <v>0</v>
      </c>
      <c r="H55" s="134">
        <f>SUMIFS('Conciliação Bancária 2016.17.18'!$J:$J,'Conciliação Bancária 2016.17.18'!$K:$K,'Base -Receita-Despesa'!$B55,'Conciliação Bancária 2016.17.18'!$D:$D,'Base -Receita-Despesa'!H$5)</f>
        <v>0</v>
      </c>
      <c r="I55" s="134">
        <f>SUMIFS('Conciliação Bancária 2016.17.18'!$J:$J,'Conciliação Bancária 2016.17.18'!$K:$K,'Base -Receita-Despesa'!$B55,'Conciliação Bancária 2016.17.18'!$D:$D,'Base -Receita-Despesa'!I$5)</f>
        <v>0</v>
      </c>
      <c r="J55" s="134">
        <f>SUMIFS('Conciliação Bancária 2016.17.18'!$J:$J,'Conciliação Bancária 2016.17.18'!$K:$K,'Base -Receita-Despesa'!$B55,'Conciliação Bancária 2016.17.18'!$D:$D,'Base -Receita-Despesa'!J$5)</f>
        <v>0</v>
      </c>
      <c r="K55" s="134">
        <f>SUMIFS('Conciliação Bancária 2016.17.18'!$J:$J,'Conciliação Bancária 2016.17.18'!$K:$K,'Base -Receita-Despesa'!$B55,'Conciliação Bancária 2016.17.18'!$D:$D,'Base -Receita-Despesa'!K$5)</f>
        <v>0</v>
      </c>
      <c r="L55" s="134">
        <f>SUMIFS('Conciliação Bancária 2016.17.18'!$J:$J,'Conciliação Bancária 2016.17.18'!$K:$K,'Base -Receita-Despesa'!$B55,'Conciliação Bancária 2016.17.18'!$D:$D,'Base -Receita-Despesa'!L$5)</f>
        <v>0</v>
      </c>
      <c r="M55" s="134">
        <f>SUMIFS('Conciliação Bancária 2016.17.18'!$J:$J,'Conciliação Bancária 2016.17.18'!$K:$K,'Base -Receita-Despesa'!$B55,'Conciliação Bancária 2016.17.18'!$D:$D,'Base -Receita-Despesa'!M$5)</f>
        <v>0</v>
      </c>
      <c r="N55" s="191">
        <f>SUMIFS('Conciliação Bancária 2016.17.18'!$J:$J,'Conciliação Bancária 2016.17.18'!$K:$K,'Base -Receita-Despesa'!$B55,'Conciliação Bancária 2016.17.18'!$D:$D,'Base -Receita-Despesa'!N$5)</f>
        <v>0</v>
      </c>
      <c r="O55" s="200">
        <f>SUM(C55:N55)</f>
        <v>0</v>
      </c>
      <c r="P55" s="175"/>
    </row>
    <row r="56" spans="2:16" outlineLevel="1" x14ac:dyDescent="0.3">
      <c r="B56" s="205" t="s">
        <v>94</v>
      </c>
      <c r="C56" s="183">
        <f>SUMIFS('Conciliação Bancária 2016.17.18'!$J:$J,'Conciliação Bancária 2016.17.18'!$K:$K,'Base -Receita-Despesa'!$B56,'Conciliação Bancária 2016.17.18'!$D:$D,'Base -Receita-Despesa'!C$5)</f>
        <v>0</v>
      </c>
      <c r="D56" s="134">
        <f>SUMIFS('Conciliação Bancária 2016.17.18'!$J:$J,'Conciliação Bancária 2016.17.18'!$K:$K,'Base -Receita-Despesa'!$B56,'Conciliação Bancária 2016.17.18'!$D:$D,'Base -Receita-Despesa'!D$5)</f>
        <v>0</v>
      </c>
      <c r="E56" s="134">
        <f>SUMIFS('Conciliação Bancária 2016.17.18'!$J:$J,'Conciliação Bancária 2016.17.18'!$K:$K,'Base -Receita-Despesa'!$B56,'Conciliação Bancária 2016.17.18'!$D:$D,'Base -Receita-Despesa'!E$5)</f>
        <v>0</v>
      </c>
      <c r="F56" s="134">
        <f>SUMIFS('Conciliação Bancária 2016.17.18'!$J:$J,'Conciliação Bancária 2016.17.18'!$K:$K,'Base -Receita-Despesa'!$B56,'Conciliação Bancária 2016.17.18'!$D:$D,'Base -Receita-Despesa'!F$5)</f>
        <v>0</v>
      </c>
      <c r="G56" s="134">
        <f>SUMIFS('Conciliação Bancária 2016.17.18'!$J:$J,'Conciliação Bancária 2016.17.18'!$K:$K,'Base -Receita-Despesa'!$B56,'Conciliação Bancária 2016.17.18'!$D:$D,'Base -Receita-Despesa'!G$5)</f>
        <v>0</v>
      </c>
      <c r="H56" s="134">
        <f>SUMIFS('Conciliação Bancária 2016.17.18'!$J:$J,'Conciliação Bancária 2016.17.18'!$K:$K,'Base -Receita-Despesa'!$B56,'Conciliação Bancária 2016.17.18'!$D:$D,'Base -Receita-Despesa'!H$5)</f>
        <v>0</v>
      </c>
      <c r="I56" s="134">
        <f>SUMIFS('Conciliação Bancária 2016.17.18'!$J:$J,'Conciliação Bancária 2016.17.18'!$K:$K,'Base -Receita-Despesa'!$B56,'Conciliação Bancária 2016.17.18'!$D:$D,'Base -Receita-Despesa'!I$5)</f>
        <v>0</v>
      </c>
      <c r="J56" s="134">
        <f>SUMIFS('Conciliação Bancária 2016.17.18'!$J:$J,'Conciliação Bancária 2016.17.18'!$K:$K,'Base -Receita-Despesa'!$B56,'Conciliação Bancária 2016.17.18'!$D:$D,'Base -Receita-Despesa'!J$5)</f>
        <v>0</v>
      </c>
      <c r="K56" s="134">
        <f>SUMIFS('Conciliação Bancária 2016.17.18'!$J:$J,'Conciliação Bancária 2016.17.18'!$K:$K,'Base -Receita-Despesa'!$B56,'Conciliação Bancária 2016.17.18'!$D:$D,'Base -Receita-Despesa'!K$5)</f>
        <v>0</v>
      </c>
      <c r="L56" s="134">
        <f>SUMIFS('Conciliação Bancária 2016.17.18'!$J:$J,'Conciliação Bancária 2016.17.18'!$K:$K,'Base -Receita-Despesa'!$B56,'Conciliação Bancária 2016.17.18'!$D:$D,'Base -Receita-Despesa'!L$5)</f>
        <v>0</v>
      </c>
      <c r="M56" s="134">
        <f>SUMIFS('Conciliação Bancária 2016.17.18'!$J:$J,'Conciliação Bancária 2016.17.18'!$K:$K,'Base -Receita-Despesa'!$B56,'Conciliação Bancária 2016.17.18'!$D:$D,'Base -Receita-Despesa'!M$5)</f>
        <v>0</v>
      </c>
      <c r="N56" s="191">
        <f>SUMIFS('Conciliação Bancária 2016.17.18'!$J:$J,'Conciliação Bancária 2016.17.18'!$K:$K,'Base -Receita-Despesa'!$B56,'Conciliação Bancária 2016.17.18'!$D:$D,'Base -Receita-Despesa'!N$5)</f>
        <v>0</v>
      </c>
      <c r="O56" s="200">
        <f>SUM(C56:N56)</f>
        <v>0</v>
      </c>
      <c r="P56" s="175"/>
    </row>
    <row r="57" spans="2:16" outlineLevel="1" x14ac:dyDescent="0.3">
      <c r="B57" s="205" t="s">
        <v>95</v>
      </c>
      <c r="C57" s="183">
        <f>SUMIFS('Conciliação Bancária 2016.17.18'!$J:$J,'Conciliação Bancária 2016.17.18'!$K:$K,'Base -Receita-Despesa'!$B57,'Conciliação Bancária 2016.17.18'!$D:$D,'Base -Receita-Despesa'!C$5)</f>
        <v>0</v>
      </c>
      <c r="D57" s="134">
        <f>SUMIFS('Conciliação Bancária 2016.17.18'!$J:$J,'Conciliação Bancária 2016.17.18'!$K:$K,'Base -Receita-Despesa'!$B57,'Conciliação Bancária 2016.17.18'!$D:$D,'Base -Receita-Despesa'!D$5)</f>
        <v>0</v>
      </c>
      <c r="E57" s="134">
        <f>SUMIFS('Conciliação Bancária 2016.17.18'!$J:$J,'Conciliação Bancária 2016.17.18'!$K:$K,'Base -Receita-Despesa'!$B57,'Conciliação Bancária 2016.17.18'!$D:$D,'Base -Receita-Despesa'!E$5)</f>
        <v>0</v>
      </c>
      <c r="F57" s="134">
        <f>SUMIFS('Conciliação Bancária 2016.17.18'!$J:$J,'Conciliação Bancária 2016.17.18'!$K:$K,'Base -Receita-Despesa'!$B57,'Conciliação Bancária 2016.17.18'!$D:$D,'Base -Receita-Despesa'!F$5)</f>
        <v>0</v>
      </c>
      <c r="G57" s="134">
        <f>SUMIFS('Conciliação Bancária 2016.17.18'!$J:$J,'Conciliação Bancária 2016.17.18'!$K:$K,'Base -Receita-Despesa'!$B57,'Conciliação Bancária 2016.17.18'!$D:$D,'Base -Receita-Despesa'!G$5)</f>
        <v>0</v>
      </c>
      <c r="H57" s="134">
        <f>SUMIFS('Conciliação Bancária 2016.17.18'!$J:$J,'Conciliação Bancária 2016.17.18'!$K:$K,'Base -Receita-Despesa'!$B57,'Conciliação Bancária 2016.17.18'!$D:$D,'Base -Receita-Despesa'!H$5)</f>
        <v>0</v>
      </c>
      <c r="I57" s="134">
        <f>SUMIFS('Conciliação Bancária 2016.17.18'!$J:$J,'Conciliação Bancária 2016.17.18'!$K:$K,'Base -Receita-Despesa'!$B57,'Conciliação Bancária 2016.17.18'!$D:$D,'Base -Receita-Despesa'!I$5)</f>
        <v>0</v>
      </c>
      <c r="J57" s="134">
        <f>SUMIFS('Conciliação Bancária 2016.17.18'!$J:$J,'Conciliação Bancária 2016.17.18'!$K:$K,'Base -Receita-Despesa'!$B57,'Conciliação Bancária 2016.17.18'!$D:$D,'Base -Receita-Despesa'!J$5)</f>
        <v>0</v>
      </c>
      <c r="K57" s="134">
        <f>SUMIFS('Conciliação Bancária 2016.17.18'!$J:$J,'Conciliação Bancária 2016.17.18'!$K:$K,'Base -Receita-Despesa'!$B57,'Conciliação Bancária 2016.17.18'!$D:$D,'Base -Receita-Despesa'!K$5)</f>
        <v>0</v>
      </c>
      <c r="L57" s="134">
        <f>SUMIFS('Conciliação Bancária 2016.17.18'!$J:$J,'Conciliação Bancária 2016.17.18'!$K:$K,'Base -Receita-Despesa'!$B57,'Conciliação Bancária 2016.17.18'!$D:$D,'Base -Receita-Despesa'!L$5)</f>
        <v>0</v>
      </c>
      <c r="M57" s="134">
        <f>SUMIFS('Conciliação Bancária 2016.17.18'!$J:$J,'Conciliação Bancária 2016.17.18'!$K:$K,'Base -Receita-Despesa'!$B57,'Conciliação Bancária 2016.17.18'!$D:$D,'Base -Receita-Despesa'!M$5)</f>
        <v>0</v>
      </c>
      <c r="N57" s="191">
        <f>SUMIFS('Conciliação Bancária 2016.17.18'!$J:$J,'Conciliação Bancária 2016.17.18'!$K:$K,'Base -Receita-Despesa'!$B57,'Conciliação Bancária 2016.17.18'!$D:$D,'Base -Receita-Despesa'!N$5)</f>
        <v>0</v>
      </c>
      <c r="O57" s="200">
        <f>SUM(C57:N57)</f>
        <v>0</v>
      </c>
      <c r="P57" s="175"/>
    </row>
    <row r="58" spans="2:16" outlineLevel="1" x14ac:dyDescent="0.3">
      <c r="B58" s="205" t="s">
        <v>96</v>
      </c>
      <c r="C58" s="183">
        <f>SUMIFS('Conciliação Bancária 2016.17.18'!$J:$J,'Conciliação Bancária 2016.17.18'!$K:$K,'Base -Receita-Despesa'!$B58,'Conciliação Bancária 2016.17.18'!$D:$D,'Base -Receita-Despesa'!C$5)</f>
        <v>0</v>
      </c>
      <c r="D58" s="134">
        <f>SUMIFS('Conciliação Bancária 2016.17.18'!$J:$J,'Conciliação Bancária 2016.17.18'!$K:$K,'Base -Receita-Despesa'!$B58,'Conciliação Bancária 2016.17.18'!$D:$D,'Base -Receita-Despesa'!D$5)</f>
        <v>0</v>
      </c>
      <c r="E58" s="134">
        <f>SUMIFS('Conciliação Bancária 2016.17.18'!$J:$J,'Conciliação Bancária 2016.17.18'!$K:$K,'Base -Receita-Despesa'!$B58,'Conciliação Bancária 2016.17.18'!$D:$D,'Base -Receita-Despesa'!E$5)</f>
        <v>0</v>
      </c>
      <c r="F58" s="134">
        <f>SUMIFS('Conciliação Bancária 2016.17.18'!$J:$J,'Conciliação Bancária 2016.17.18'!$K:$K,'Base -Receita-Despesa'!$B58,'Conciliação Bancária 2016.17.18'!$D:$D,'Base -Receita-Despesa'!F$5)</f>
        <v>0</v>
      </c>
      <c r="G58" s="134">
        <f>SUMIFS('Conciliação Bancária 2016.17.18'!$J:$J,'Conciliação Bancária 2016.17.18'!$K:$K,'Base -Receita-Despesa'!$B58,'Conciliação Bancária 2016.17.18'!$D:$D,'Base -Receita-Despesa'!G$5)</f>
        <v>0</v>
      </c>
      <c r="H58" s="134">
        <f>SUMIFS('Conciliação Bancária 2016.17.18'!$J:$J,'Conciliação Bancária 2016.17.18'!$K:$K,'Base -Receita-Despesa'!$B58,'Conciliação Bancária 2016.17.18'!$D:$D,'Base -Receita-Despesa'!H$5)</f>
        <v>0</v>
      </c>
      <c r="I58" s="134">
        <f>SUMIFS('Conciliação Bancária 2016.17.18'!$J:$J,'Conciliação Bancária 2016.17.18'!$K:$K,'Base -Receita-Despesa'!$B58,'Conciliação Bancária 2016.17.18'!$D:$D,'Base -Receita-Despesa'!I$5)</f>
        <v>0</v>
      </c>
      <c r="J58" s="134">
        <f>SUMIFS('Conciliação Bancária 2016.17.18'!$J:$J,'Conciliação Bancária 2016.17.18'!$K:$K,'Base -Receita-Despesa'!$B58,'Conciliação Bancária 2016.17.18'!$D:$D,'Base -Receita-Despesa'!J$5)</f>
        <v>0</v>
      </c>
      <c r="K58" s="134">
        <f>SUMIFS('Conciliação Bancária 2016.17.18'!$J:$J,'Conciliação Bancária 2016.17.18'!$K:$K,'Base -Receita-Despesa'!$B58,'Conciliação Bancária 2016.17.18'!$D:$D,'Base -Receita-Despesa'!K$5)</f>
        <v>0</v>
      </c>
      <c r="L58" s="134">
        <f>SUMIFS('Conciliação Bancária 2016.17.18'!$J:$J,'Conciliação Bancária 2016.17.18'!$K:$K,'Base -Receita-Despesa'!$B58,'Conciliação Bancária 2016.17.18'!$D:$D,'Base -Receita-Despesa'!L$5)</f>
        <v>0</v>
      </c>
      <c r="M58" s="134">
        <f>SUMIFS('Conciliação Bancária 2016.17.18'!$J:$J,'Conciliação Bancária 2016.17.18'!$K:$K,'Base -Receita-Despesa'!$B58,'Conciliação Bancária 2016.17.18'!$D:$D,'Base -Receita-Despesa'!M$5)</f>
        <v>0</v>
      </c>
      <c r="N58" s="191">
        <f>SUMIFS('Conciliação Bancária 2016.17.18'!$J:$J,'Conciliação Bancária 2016.17.18'!$K:$K,'Base -Receita-Despesa'!$B58,'Conciliação Bancária 2016.17.18'!$D:$D,'Base -Receita-Despesa'!N$5)</f>
        <v>0</v>
      </c>
      <c r="O58" s="200">
        <f>SUM(C58:N58)</f>
        <v>0</v>
      </c>
      <c r="P58" s="175"/>
    </row>
    <row r="59" spans="2:16" s="116" customFormat="1" x14ac:dyDescent="0.3">
      <c r="B59" s="208" t="s">
        <v>97</v>
      </c>
      <c r="C59" s="132">
        <f t="shared" ref="C59:O59" si="9">SUM(C55:C58)</f>
        <v>0</v>
      </c>
      <c r="D59" s="125">
        <f t="shared" si="9"/>
        <v>0</v>
      </c>
      <c r="E59" s="125">
        <f t="shared" si="9"/>
        <v>0</v>
      </c>
      <c r="F59" s="125">
        <f t="shared" si="9"/>
        <v>0</v>
      </c>
      <c r="G59" s="125">
        <f t="shared" si="9"/>
        <v>0</v>
      </c>
      <c r="H59" s="125">
        <f t="shared" si="9"/>
        <v>0</v>
      </c>
      <c r="I59" s="125">
        <f t="shared" si="9"/>
        <v>0</v>
      </c>
      <c r="J59" s="125">
        <f t="shared" si="9"/>
        <v>0</v>
      </c>
      <c r="K59" s="125">
        <f t="shared" si="9"/>
        <v>0</v>
      </c>
      <c r="L59" s="125">
        <f t="shared" si="9"/>
        <v>0</v>
      </c>
      <c r="M59" s="125">
        <f t="shared" si="9"/>
        <v>0</v>
      </c>
      <c r="N59" s="138">
        <f t="shared" si="9"/>
        <v>0</v>
      </c>
      <c r="O59" s="200">
        <f t="shared" si="9"/>
        <v>0</v>
      </c>
      <c r="P59" s="179"/>
    </row>
    <row r="60" spans="2:16" s="139" customFormat="1" x14ac:dyDescent="0.3">
      <c r="B60" s="206" t="s">
        <v>98</v>
      </c>
      <c r="C60" s="133">
        <f t="shared" ref="C60:M60" si="10">C14+C26+C53+C59</f>
        <v>147844.24</v>
      </c>
      <c r="D60" s="133">
        <f t="shared" si="10"/>
        <v>403838.24734358862</v>
      </c>
      <c r="E60" s="133">
        <f t="shared" si="10"/>
        <v>416805.54999999981</v>
      </c>
      <c r="F60" s="133">
        <f t="shared" si="10"/>
        <v>160911.84999999986</v>
      </c>
      <c r="G60" s="133">
        <f t="shared" si="10"/>
        <v>267204.24000000022</v>
      </c>
      <c r="H60" s="133">
        <f t="shared" si="10"/>
        <v>388544.77</v>
      </c>
      <c r="I60" s="133">
        <f t="shared" si="10"/>
        <v>272471.51999999979</v>
      </c>
      <c r="J60" s="133">
        <f t="shared" si="10"/>
        <v>143187.23999999976</v>
      </c>
      <c r="K60" s="133">
        <f t="shared" si="10"/>
        <v>0</v>
      </c>
      <c r="L60" s="133">
        <f t="shared" si="10"/>
        <v>0</v>
      </c>
      <c r="M60" s="133">
        <f t="shared" si="10"/>
        <v>0</v>
      </c>
      <c r="N60" s="171">
        <f>N14+N26+N53+N59</f>
        <v>0</v>
      </c>
      <c r="O60" s="187">
        <f>O14+O26+O31+O53+O59</f>
        <v>-174212.22265641205</v>
      </c>
      <c r="P60" s="179"/>
    </row>
    <row r="61" spans="2:16" x14ac:dyDescent="0.3">
      <c r="B61" s="205"/>
      <c r="C61" s="269" t="s">
        <v>99</v>
      </c>
      <c r="D61" s="269"/>
      <c r="E61" s="269"/>
      <c r="F61" s="269"/>
      <c r="G61" s="269"/>
      <c r="H61" s="269"/>
      <c r="I61" s="269"/>
      <c r="J61" s="269"/>
      <c r="K61" s="269"/>
      <c r="L61" s="269"/>
      <c r="M61" s="269"/>
      <c r="N61" s="270"/>
      <c r="O61" s="212"/>
    </row>
    <row r="62" spans="2:16" outlineLevel="1" x14ac:dyDescent="0.3">
      <c r="B62" s="205" t="s">
        <v>100</v>
      </c>
      <c r="C62" s="183">
        <f>SUMIFS('Conciliação Bancária 2016.17.18'!$J:$J,'Conciliação Bancária 2016.17.18'!$K:$K,'Base -Receita-Despesa'!$B62,'Conciliação Bancária 2016.17.18'!$D:$D,'Base -Receita-Despesa'!C$5)</f>
        <v>0</v>
      </c>
      <c r="D62" s="134">
        <f>SUMIFS('Conciliação Bancária 2016.17.18'!$J:$J,'Conciliação Bancária 2016.17.18'!$K:$K,'Base -Receita-Despesa'!$B62,'Conciliação Bancária 2016.17.18'!$D:$D,'Base -Receita-Despesa'!D$5)</f>
        <v>0</v>
      </c>
      <c r="E62" s="134">
        <f>SUMIFS('Conciliação Bancária 2016.17.18'!$J:$J,'Conciliação Bancária 2016.17.18'!$K:$K,'Base -Receita-Despesa'!$B62,'Conciliação Bancária 2016.17.18'!$D:$D,'Base -Receita-Despesa'!E$5)</f>
        <v>0</v>
      </c>
      <c r="F62" s="134">
        <f>SUMIFS('Conciliação Bancária 2016.17.18'!$J:$J,'Conciliação Bancária 2016.17.18'!$K:$K,'Base -Receita-Despesa'!$B62,'Conciliação Bancária 2016.17.18'!$D:$D,'Base -Receita-Despesa'!F$5)</f>
        <v>0</v>
      </c>
      <c r="G62" s="134">
        <f>SUMIFS('Conciliação Bancária 2016.17.18'!$J:$J,'Conciliação Bancária 2016.17.18'!$K:$K,'Base -Receita-Despesa'!$B62,'Conciliação Bancária 2016.17.18'!$D:$D,'Base -Receita-Despesa'!G$5)</f>
        <v>0</v>
      </c>
      <c r="H62" s="134">
        <f>SUMIFS('Conciliação Bancária 2016.17.18'!$J:$J,'Conciliação Bancária 2016.17.18'!$K:$K,'Base -Receita-Despesa'!$B62,'Conciliação Bancária 2016.17.18'!$D:$D,'Base -Receita-Despesa'!H$5)</f>
        <v>0</v>
      </c>
      <c r="I62" s="134">
        <f>SUMIFS('Conciliação Bancária 2016.17.18'!$J:$J,'Conciliação Bancária 2016.17.18'!$K:$K,'Base -Receita-Despesa'!$B62,'Conciliação Bancária 2016.17.18'!$D:$D,'Base -Receita-Despesa'!I$5)</f>
        <v>0</v>
      </c>
      <c r="J62" s="134">
        <f>SUMIFS('Conciliação Bancária 2016.17.18'!$J:$J,'Conciliação Bancária 2016.17.18'!$K:$K,'Base -Receita-Despesa'!$B62,'Conciliação Bancária 2016.17.18'!$D:$D,'Base -Receita-Despesa'!J$5)</f>
        <v>0</v>
      </c>
      <c r="K62" s="134">
        <f>SUMIFS('Conciliação Bancária 2016.17.18'!$J:$J,'Conciliação Bancária 2016.17.18'!$K:$K,'Base -Receita-Despesa'!$B62,'Conciliação Bancária 2016.17.18'!$D:$D,'Base -Receita-Despesa'!K$5)</f>
        <v>0</v>
      </c>
      <c r="L62" s="134">
        <f>SUMIFS('Conciliação Bancária 2016.17.18'!$J:$J,'Conciliação Bancária 2016.17.18'!$K:$K,'Base -Receita-Despesa'!$B62,'Conciliação Bancária 2016.17.18'!$D:$D,'Base -Receita-Despesa'!L$5)</f>
        <v>0</v>
      </c>
      <c r="M62" s="134">
        <f>SUMIFS('Conciliação Bancária 2016.17.18'!$J:$J,'Conciliação Bancária 2016.17.18'!$K:$K,'Base -Receita-Despesa'!$B62,'Conciliação Bancária 2016.17.18'!$D:$D,'Base -Receita-Despesa'!M$5)</f>
        <v>0</v>
      </c>
      <c r="N62" s="191">
        <f>SUMIFS('Conciliação Bancária 2016.17.18'!$J:$J,'Conciliação Bancária 2016.17.18'!$K:$K,'Base -Receita-Despesa'!$B62,'Conciliação Bancária 2016.17.18'!$D:$D,'Base -Receita-Despesa'!N$5)</f>
        <v>0</v>
      </c>
      <c r="O62" s="200">
        <f t="shared" ref="O62:O68" si="11">SUM(C62:N62)</f>
        <v>0</v>
      </c>
      <c r="P62" s="175"/>
    </row>
    <row r="63" spans="2:16" outlineLevel="1" x14ac:dyDescent="0.3">
      <c r="B63" s="205" t="s">
        <v>101</v>
      </c>
      <c r="C63" s="183">
        <f>SUMIFS('Conciliação Bancária 2016.17.18'!$J:$J,'Conciliação Bancária 2016.17.18'!$K:$K,'Base -Receita-Despesa'!$B63,'Conciliação Bancária 2016.17.18'!$D:$D,'Base -Receita-Despesa'!C$5)</f>
        <v>0</v>
      </c>
      <c r="D63" s="134">
        <f>SUMIFS('Conciliação Bancária 2016.17.18'!$J:$J,'Conciliação Bancária 2016.17.18'!$K:$K,'Base -Receita-Despesa'!$B63,'Conciliação Bancária 2016.17.18'!$D:$D,'Base -Receita-Despesa'!D$5)</f>
        <v>0</v>
      </c>
      <c r="E63" s="134">
        <f>SUMIFS('Conciliação Bancária 2016.17.18'!$J:$J,'Conciliação Bancária 2016.17.18'!$K:$K,'Base -Receita-Despesa'!$B63,'Conciliação Bancária 2016.17.18'!$D:$D,'Base -Receita-Despesa'!E$5)</f>
        <v>0</v>
      </c>
      <c r="F63" s="134">
        <f>SUMIFS('Conciliação Bancária 2016.17.18'!$J:$J,'Conciliação Bancária 2016.17.18'!$K:$K,'Base -Receita-Despesa'!$B63,'Conciliação Bancária 2016.17.18'!$D:$D,'Base -Receita-Despesa'!F$5)</f>
        <v>0</v>
      </c>
      <c r="G63" s="134">
        <f>SUMIFS('Conciliação Bancária 2016.17.18'!$J:$J,'Conciliação Bancária 2016.17.18'!$K:$K,'Base -Receita-Despesa'!$B63,'Conciliação Bancária 2016.17.18'!$D:$D,'Base -Receita-Despesa'!G$5)</f>
        <v>0</v>
      </c>
      <c r="H63" s="134">
        <f>SUMIFS('Conciliação Bancária 2016.17.18'!$J:$J,'Conciliação Bancária 2016.17.18'!$K:$K,'Base -Receita-Despesa'!$B63,'Conciliação Bancária 2016.17.18'!$D:$D,'Base -Receita-Despesa'!H$5)</f>
        <v>0</v>
      </c>
      <c r="I63" s="134">
        <f>SUMIFS('Conciliação Bancária 2016.17.18'!$J:$J,'Conciliação Bancária 2016.17.18'!$K:$K,'Base -Receita-Despesa'!$B63,'Conciliação Bancária 2016.17.18'!$D:$D,'Base -Receita-Despesa'!I$5)</f>
        <v>0</v>
      </c>
      <c r="J63" s="134">
        <f>SUMIFS('Conciliação Bancária 2016.17.18'!$J:$J,'Conciliação Bancária 2016.17.18'!$K:$K,'Base -Receita-Despesa'!$B63,'Conciliação Bancária 2016.17.18'!$D:$D,'Base -Receita-Despesa'!J$5)</f>
        <v>0</v>
      </c>
      <c r="K63" s="134">
        <f>SUMIFS('Conciliação Bancária 2016.17.18'!$J:$J,'Conciliação Bancária 2016.17.18'!$K:$K,'Base -Receita-Despesa'!$B63,'Conciliação Bancária 2016.17.18'!$D:$D,'Base -Receita-Despesa'!K$5)</f>
        <v>0</v>
      </c>
      <c r="L63" s="134">
        <f>SUMIFS('Conciliação Bancária 2016.17.18'!$J:$J,'Conciliação Bancária 2016.17.18'!$K:$K,'Base -Receita-Despesa'!$B63,'Conciliação Bancária 2016.17.18'!$D:$D,'Base -Receita-Despesa'!L$5)</f>
        <v>0</v>
      </c>
      <c r="M63" s="134">
        <f>SUMIFS('Conciliação Bancária 2016.17.18'!$J:$J,'Conciliação Bancária 2016.17.18'!$K:$K,'Base -Receita-Despesa'!$B63,'Conciliação Bancária 2016.17.18'!$D:$D,'Base -Receita-Despesa'!M$5)</f>
        <v>0</v>
      </c>
      <c r="N63" s="191">
        <f>SUMIFS('Conciliação Bancária 2016.17.18'!$J:$J,'Conciliação Bancária 2016.17.18'!$K:$K,'Base -Receita-Despesa'!$B63,'Conciliação Bancária 2016.17.18'!$D:$D,'Base -Receita-Despesa'!N$5)</f>
        <v>0</v>
      </c>
      <c r="O63" s="200">
        <f t="shared" si="11"/>
        <v>0</v>
      </c>
      <c r="P63" s="175"/>
    </row>
    <row r="64" spans="2:16" s="116" customFormat="1" x14ac:dyDescent="0.3">
      <c r="B64" s="208" t="s">
        <v>102</v>
      </c>
      <c r="C64" s="123">
        <f>C60+C62+C63</f>
        <v>147844.24</v>
      </c>
      <c r="D64" s="123">
        <f t="shared" ref="D64:N64" si="12">D60+D62+D63</f>
        <v>403838.24734358862</v>
      </c>
      <c r="E64" s="123">
        <f t="shared" si="12"/>
        <v>416805.54999999981</v>
      </c>
      <c r="F64" s="123">
        <f t="shared" si="12"/>
        <v>160911.84999999986</v>
      </c>
      <c r="G64" s="123">
        <f t="shared" si="12"/>
        <v>267204.24000000022</v>
      </c>
      <c r="H64" s="123">
        <f t="shared" si="12"/>
        <v>388544.77</v>
      </c>
      <c r="I64" s="123">
        <f t="shared" si="12"/>
        <v>272471.51999999979</v>
      </c>
      <c r="J64" s="123">
        <f t="shared" si="12"/>
        <v>143187.23999999976</v>
      </c>
      <c r="K64" s="123">
        <f t="shared" si="12"/>
        <v>0</v>
      </c>
      <c r="L64" s="123">
        <f t="shared" si="12"/>
        <v>0</v>
      </c>
      <c r="M64" s="123">
        <f t="shared" si="12"/>
        <v>0</v>
      </c>
      <c r="N64" s="123">
        <f t="shared" si="12"/>
        <v>0</v>
      </c>
      <c r="O64" s="200">
        <f>N64</f>
        <v>0</v>
      </c>
      <c r="P64" s="175"/>
    </row>
    <row r="65" spans="2:16" outlineLevel="1" x14ac:dyDescent="0.3">
      <c r="B65" s="205" t="s">
        <v>51</v>
      </c>
      <c r="C65" s="123">
        <f>'HEELJ - Saldos Bancários'!E10</f>
        <v>99.4</v>
      </c>
      <c r="D65" s="123">
        <f>'HEELJ - Saldos Bancários'!F10</f>
        <v>391.51</v>
      </c>
      <c r="E65" s="123">
        <f>'HEELJ - Saldos Bancários'!G10</f>
        <v>277700.23</v>
      </c>
      <c r="F65" s="123">
        <f>'HEELJ - Saldos Bancários'!H10</f>
        <v>102781.48</v>
      </c>
      <c r="G65" s="123">
        <f>'HEELJ - Saldos Bancários'!I10</f>
        <v>243273.36</v>
      </c>
      <c r="H65" s="123">
        <f>'HEELJ - Saldos Bancários'!J10</f>
        <v>265.01</v>
      </c>
      <c r="I65" s="123">
        <f>'HEELJ - Saldos Bancários'!K10</f>
        <v>239.70999999999998</v>
      </c>
      <c r="J65" s="123">
        <f>'HEELJ - Saldos Bancários'!L10</f>
        <v>99.4</v>
      </c>
      <c r="K65" s="123">
        <f>'HEELJ - Saldos Bancários'!M10</f>
        <v>0</v>
      </c>
      <c r="L65" s="123">
        <f>'HEELJ - Saldos Bancários'!N10</f>
        <v>0</v>
      </c>
      <c r="M65" s="123">
        <f>'HEELJ - Saldos Bancários'!O10</f>
        <v>0</v>
      </c>
      <c r="N65" s="189">
        <f>'HEELJ - Saldos Bancários'!P10</f>
        <v>0</v>
      </c>
      <c r="O65" s="200">
        <f t="shared" ref="O65:O67" si="13">N65</f>
        <v>0</v>
      </c>
      <c r="P65" s="175"/>
    </row>
    <row r="66" spans="2:16" outlineLevel="1" x14ac:dyDescent="0.3">
      <c r="B66" s="205" t="s">
        <v>103</v>
      </c>
      <c r="C66" s="123">
        <f>'HEELJ - Saldos Bancários'!E20</f>
        <v>147744.84</v>
      </c>
      <c r="D66" s="123">
        <f>'HEELJ - Saldos Bancários'!F20</f>
        <v>403446.74</v>
      </c>
      <c r="E66" s="123">
        <f>'HEELJ - Saldos Bancários'!G20</f>
        <v>139105.32</v>
      </c>
      <c r="F66" s="123">
        <f>'HEELJ - Saldos Bancários'!H20</f>
        <v>58130.37</v>
      </c>
      <c r="G66" s="123">
        <f>'HEELJ - Saldos Bancários'!I20</f>
        <v>23930.880000000001</v>
      </c>
      <c r="H66" s="123">
        <f>'HEELJ - Saldos Bancários'!J20</f>
        <v>388279.76</v>
      </c>
      <c r="I66" s="123">
        <f>'HEELJ - Saldos Bancários'!K20</f>
        <v>272231.81</v>
      </c>
      <c r="J66" s="123">
        <f>'HEELJ - Saldos Bancários'!L20</f>
        <v>143087.84</v>
      </c>
      <c r="K66" s="123">
        <f>'HEELJ - Saldos Bancários'!M20</f>
        <v>0</v>
      </c>
      <c r="L66" s="123">
        <f>'HEELJ - Saldos Bancários'!N20</f>
        <v>0</v>
      </c>
      <c r="M66" s="123">
        <f>'HEELJ - Saldos Bancários'!O20</f>
        <v>0</v>
      </c>
      <c r="N66" s="189">
        <f>'HEELJ - Saldos Bancários'!P20</f>
        <v>0</v>
      </c>
      <c r="O66" s="200">
        <f t="shared" si="13"/>
        <v>0</v>
      </c>
      <c r="P66" s="175"/>
    </row>
    <row r="67" spans="2:16" outlineLevel="1" x14ac:dyDescent="0.3">
      <c r="B67" s="205" t="s">
        <v>104</v>
      </c>
      <c r="C67" s="123">
        <v>0</v>
      </c>
      <c r="D67" s="124">
        <v>0</v>
      </c>
      <c r="E67" s="124">
        <v>0</v>
      </c>
      <c r="F67" s="124">
        <v>0</v>
      </c>
      <c r="G67" s="124">
        <v>0</v>
      </c>
      <c r="H67" s="124">
        <v>0</v>
      </c>
      <c r="I67" s="124">
        <v>0</v>
      </c>
      <c r="J67" s="124">
        <v>0</v>
      </c>
      <c r="K67" s="124">
        <v>0</v>
      </c>
      <c r="L67" s="124">
        <v>0</v>
      </c>
      <c r="M67" s="124">
        <v>0</v>
      </c>
      <c r="N67" s="167">
        <v>0</v>
      </c>
      <c r="O67" s="200">
        <f t="shared" si="13"/>
        <v>0</v>
      </c>
      <c r="P67" s="175"/>
    </row>
    <row r="68" spans="2:16" x14ac:dyDescent="0.3">
      <c r="B68" s="208" t="s">
        <v>54</v>
      </c>
      <c r="C68" s="123">
        <v>0</v>
      </c>
      <c r="D68" s="124">
        <v>0</v>
      </c>
      <c r="E68" s="124">
        <v>0</v>
      </c>
      <c r="F68" s="124">
        <v>0</v>
      </c>
      <c r="G68" s="124">
        <v>0</v>
      </c>
      <c r="H68" s="124">
        <v>0</v>
      </c>
      <c r="I68" s="124">
        <v>0</v>
      </c>
      <c r="J68" s="124">
        <v>0</v>
      </c>
      <c r="K68" s="124">
        <v>0</v>
      </c>
      <c r="L68" s="124">
        <v>0</v>
      </c>
      <c r="M68" s="124">
        <v>0</v>
      </c>
      <c r="N68" s="167">
        <v>0</v>
      </c>
      <c r="O68" s="200">
        <f t="shared" si="11"/>
        <v>0</v>
      </c>
      <c r="P68" s="175"/>
    </row>
    <row r="69" spans="2:16" s="116" customFormat="1" x14ac:dyDescent="0.3">
      <c r="B69" s="208" t="s">
        <v>105</v>
      </c>
      <c r="C69" s="132">
        <f t="shared" ref="C69:O69" si="14">SUM(C65:C68)</f>
        <v>147844.24</v>
      </c>
      <c r="D69" s="125">
        <f t="shared" si="14"/>
        <v>403838.25</v>
      </c>
      <c r="E69" s="125">
        <f t="shared" si="14"/>
        <v>416805.55</v>
      </c>
      <c r="F69" s="125">
        <f t="shared" si="14"/>
        <v>160911.85</v>
      </c>
      <c r="G69" s="125">
        <f t="shared" si="14"/>
        <v>267204.24</v>
      </c>
      <c r="H69" s="125">
        <f t="shared" si="14"/>
        <v>388544.77</v>
      </c>
      <c r="I69" s="125">
        <f t="shared" si="14"/>
        <v>272471.52</v>
      </c>
      <c r="J69" s="125">
        <f t="shared" si="14"/>
        <v>143187.24</v>
      </c>
      <c r="K69" s="125">
        <f t="shared" si="14"/>
        <v>0</v>
      </c>
      <c r="L69" s="125">
        <f t="shared" si="14"/>
        <v>0</v>
      </c>
      <c r="M69" s="125">
        <f t="shared" si="14"/>
        <v>0</v>
      </c>
      <c r="N69" s="138">
        <f t="shared" si="14"/>
        <v>0</v>
      </c>
      <c r="O69" s="200">
        <f t="shared" si="14"/>
        <v>0</v>
      </c>
      <c r="P69" s="179"/>
    </row>
    <row r="70" spans="2:16" ht="12.6" thickBot="1" x14ac:dyDescent="0.35">
      <c r="B70" s="211" t="s">
        <v>106</v>
      </c>
      <c r="C70" s="140">
        <f>C64-C69</f>
        <v>0</v>
      </c>
      <c r="D70" s="140">
        <f t="shared" ref="D70:N70" si="15">D64-D69</f>
        <v>-2.6564113795757294E-3</v>
      </c>
      <c r="E70" s="140">
        <f t="shared" si="15"/>
        <v>0</v>
      </c>
      <c r="F70" s="140">
        <f t="shared" si="15"/>
        <v>0</v>
      </c>
      <c r="G70" s="140">
        <f t="shared" si="15"/>
        <v>0</v>
      </c>
      <c r="H70" s="140">
        <f t="shared" si="15"/>
        <v>0</v>
      </c>
      <c r="I70" s="140">
        <f t="shared" si="15"/>
        <v>0</v>
      </c>
      <c r="J70" s="140">
        <f t="shared" si="15"/>
        <v>-2.3283064365386963E-10</v>
      </c>
      <c r="K70" s="140">
        <f t="shared" si="15"/>
        <v>0</v>
      </c>
      <c r="L70" s="140">
        <f t="shared" si="15"/>
        <v>0</v>
      </c>
      <c r="M70" s="140">
        <f t="shared" si="15"/>
        <v>0</v>
      </c>
      <c r="N70" s="140">
        <f t="shared" si="15"/>
        <v>0</v>
      </c>
      <c r="O70" s="201">
        <f>SUM(C70:N70)</f>
        <v>-2.656411612406373E-3</v>
      </c>
    </row>
    <row r="71" spans="2:16" x14ac:dyDescent="0.3"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2"/>
    </row>
    <row r="72" spans="2:16" x14ac:dyDescent="0.3">
      <c r="B72" s="141"/>
      <c r="C72" s="241">
        <f>C26+C31+C53+C59+C62+C63</f>
        <v>-52491.349999999627</v>
      </c>
      <c r="D72" s="241">
        <f t="shared" ref="D72:O72" si="16">D26+D31+D53+D59+D62+D63</f>
        <v>255994.00734358863</v>
      </c>
      <c r="E72" s="241">
        <f t="shared" si="16"/>
        <v>12967.299999999814</v>
      </c>
      <c r="F72" s="241">
        <f t="shared" si="16"/>
        <v>-255893.70000000007</v>
      </c>
      <c r="G72" s="241">
        <f t="shared" si="16"/>
        <v>106292.39000000013</v>
      </c>
      <c r="H72" s="241">
        <f t="shared" si="16"/>
        <v>-241264.96999999997</v>
      </c>
      <c r="I72" s="241">
        <f t="shared" si="16"/>
        <v>-332.09000000031665</v>
      </c>
      <c r="J72" s="241">
        <f t="shared" si="16"/>
        <v>516.18999999971129</v>
      </c>
      <c r="K72" s="241">
        <f t="shared" si="16"/>
        <v>0</v>
      </c>
      <c r="L72" s="241">
        <f t="shared" si="16"/>
        <v>0</v>
      </c>
      <c r="M72" s="241">
        <f t="shared" si="16"/>
        <v>0</v>
      </c>
      <c r="N72" s="241">
        <f t="shared" si="16"/>
        <v>0</v>
      </c>
      <c r="O72" s="241">
        <f t="shared" si="16"/>
        <v>-174212.22265641205</v>
      </c>
    </row>
    <row r="73" spans="2:16" x14ac:dyDescent="0.3">
      <c r="B73" s="141"/>
      <c r="C73" s="242">
        <f>SUMIFS('Conciliação Bancária 2016.17.18'!$J:$J,'Conciliação Bancária 2016.17.18'!$D:$D,'Base -Receita-Despesa'!C$5)</f>
        <v>-52491.349999999737</v>
      </c>
      <c r="D73" s="242">
        <f>SUMIFS('Conciliação Bancária 2016.17.18'!$J:$J,'Conciliação Bancária 2016.17.18'!$D:$D,'Base -Receita-Despesa'!D$5)</f>
        <v>255994.00734358878</v>
      </c>
      <c r="E73" s="242">
        <f>SUMIFS('Conciliação Bancária 2016.17.18'!$J:$J,'Conciliação Bancária 2016.17.18'!$D:$D,'Base -Receita-Despesa'!E$5)</f>
        <v>12967.299999999901</v>
      </c>
      <c r="F73" s="242">
        <f>SUMIFS('Conciliação Bancária 2016.17.18'!$J:$J,'Conciliação Bancária 2016.17.18'!$D:$D,'Base -Receita-Despesa'!F$5)</f>
        <v>-255893.69999999987</v>
      </c>
      <c r="G73" s="242">
        <f>SUMIFS('Conciliação Bancária 2016.17.18'!$J:$J,'Conciliação Bancária 2016.17.18'!$D:$D,'Base -Receita-Despesa'!G$5)</f>
        <v>106292.38999999968</v>
      </c>
      <c r="H73" s="242">
        <f>SUMIFS('Conciliação Bancária 2016.17.18'!$J:$J,'Conciliação Bancária 2016.17.18'!$D:$D,'Base -Receita-Despesa'!H$5)</f>
        <v>-241264.96999999991</v>
      </c>
      <c r="I73" s="242">
        <f>SUMIFS('Conciliação Bancária 2016.17.18'!$J:$J,'Conciliação Bancária 2016.17.18'!$D:$D,'Base -Receita-Despesa'!I$5)</f>
        <v>-332.08999999984275</v>
      </c>
      <c r="J73" s="242">
        <f>SUMIFS('Conciliação Bancária 2016.17.18'!$J:$J,'Conciliação Bancária 2016.17.18'!$D:$D,'Base -Receita-Despesa'!J$5)</f>
        <v>516.18999999992957</v>
      </c>
      <c r="K73" s="242">
        <f>SUMIFS('Conciliação Bancária 2016.17.18'!$J:$J,'Conciliação Bancária 2016.17.18'!$D:$D,'Base -Receita-Despesa'!K$5)</f>
        <v>0</v>
      </c>
      <c r="L73" s="242">
        <f>SUMIFS('Conciliação Bancária 2016.17.18'!$J:$J,'Conciliação Bancária 2016.17.18'!$D:$D,'Base -Receita-Despesa'!L$5)</f>
        <v>0</v>
      </c>
      <c r="M73" s="242">
        <f>SUMIFS('Conciliação Bancária 2016.17.18'!$J:$J,'Conciliação Bancária 2016.17.18'!$D:$D,'Base -Receita-Despesa'!M$5)</f>
        <v>0</v>
      </c>
      <c r="N73" s="242">
        <f>SUMIFS('Conciliação Bancária 2016.17.18'!$J:$J,'Conciliação Bancária 2016.17.18'!$D:$D,'Base -Receita-Despesa'!N$5)</f>
        <v>0</v>
      </c>
      <c r="O73" s="241">
        <f>SUMIFS('Conciliação Bancária 2016.17.18'!$J:$J,'Conciliação Bancária 2016.17.18'!$A:$A,C3)</f>
        <v>-174212.22265641182</v>
      </c>
    </row>
    <row r="74" spans="2:16" x14ac:dyDescent="0.3">
      <c r="B74" s="141"/>
      <c r="C74" s="116" t="b">
        <f t="shared" ref="C74:O74" si="17">ROUND(C72,2)=ROUND(C73,2)</f>
        <v>1</v>
      </c>
      <c r="D74" s="116" t="b">
        <f t="shared" si="17"/>
        <v>1</v>
      </c>
      <c r="E74" s="116" t="b">
        <f t="shared" si="17"/>
        <v>1</v>
      </c>
      <c r="F74" s="116" t="b">
        <f t="shared" si="17"/>
        <v>1</v>
      </c>
      <c r="G74" s="116" t="b">
        <f t="shared" si="17"/>
        <v>1</v>
      </c>
      <c r="H74" s="116" t="b">
        <f t="shared" si="17"/>
        <v>1</v>
      </c>
      <c r="I74" s="116" t="b">
        <f t="shared" si="17"/>
        <v>1</v>
      </c>
      <c r="J74" s="116" t="b">
        <f t="shared" si="17"/>
        <v>1</v>
      </c>
      <c r="K74" s="116" t="b">
        <f t="shared" si="17"/>
        <v>1</v>
      </c>
      <c r="L74" s="116" t="b">
        <f t="shared" si="17"/>
        <v>1</v>
      </c>
      <c r="M74" s="116" t="b">
        <f t="shared" si="17"/>
        <v>1</v>
      </c>
      <c r="N74" s="116" t="b">
        <f t="shared" si="17"/>
        <v>1</v>
      </c>
      <c r="O74" s="116" t="b">
        <f t="shared" si="17"/>
        <v>1</v>
      </c>
      <c r="P74" s="180"/>
    </row>
    <row r="75" spans="2:16" x14ac:dyDescent="0.3"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P75" s="180"/>
    </row>
    <row r="76" spans="2:16" x14ac:dyDescent="0.3"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P76" s="180"/>
    </row>
    <row r="77" spans="2:16" x14ac:dyDescent="0.3"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P77" s="180"/>
    </row>
    <row r="78" spans="2:16" x14ac:dyDescent="0.3"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P78" s="180"/>
    </row>
    <row r="79" spans="2:16" x14ac:dyDescent="0.3">
      <c r="P79" s="180"/>
    </row>
    <row r="80" spans="2:16" x14ac:dyDescent="0.3">
      <c r="P80" s="180"/>
    </row>
    <row r="81" spans="2:16" x14ac:dyDescent="0.3">
      <c r="P81" s="180"/>
    </row>
    <row r="82" spans="2:16" s="116" customFormat="1" x14ac:dyDescent="0.3"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P82" s="180"/>
    </row>
    <row r="83" spans="2:16" x14ac:dyDescent="0.3">
      <c r="P83" s="180"/>
    </row>
    <row r="84" spans="2:16" x14ac:dyDescent="0.3">
      <c r="P84" s="180"/>
    </row>
    <row r="85" spans="2:16" x14ac:dyDescent="0.3">
      <c r="P85" s="180"/>
    </row>
    <row r="86" spans="2:16" x14ac:dyDescent="0.3">
      <c r="P86" s="180"/>
    </row>
    <row r="87" spans="2:16" x14ac:dyDescent="0.3">
      <c r="P87" s="180"/>
    </row>
    <row r="88" spans="2:16" s="116" customFormat="1" x14ac:dyDescent="0.3">
      <c r="B88" s="128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P88" s="180"/>
    </row>
    <row r="89" spans="2:16" s="116" customFormat="1" x14ac:dyDescent="0.3"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P89" s="180"/>
    </row>
    <row r="90" spans="2:16" s="116" customFormat="1" x14ac:dyDescent="0.3"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P90" s="180"/>
    </row>
    <row r="91" spans="2:16" s="116" customFormat="1" x14ac:dyDescent="0.3"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P91" s="180"/>
    </row>
    <row r="92" spans="2:16" s="116" customFormat="1" x14ac:dyDescent="0.3"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P92" s="180"/>
    </row>
    <row r="93" spans="2:16" s="116" customFormat="1" x14ac:dyDescent="0.3"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P93" s="180"/>
    </row>
    <row r="99" spans="2:16" s="116" customFormat="1" x14ac:dyDescent="0.3"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P99" s="180"/>
    </row>
    <row r="100" spans="2:16" x14ac:dyDescent="0.3"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</row>
    <row r="101" spans="2:16" x14ac:dyDescent="0.3">
      <c r="B101" s="128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</row>
  </sheetData>
  <mergeCells count="7">
    <mergeCell ref="C15:N15"/>
    <mergeCell ref="B3:B4"/>
    <mergeCell ref="C3:O4"/>
    <mergeCell ref="C27:N27"/>
    <mergeCell ref="C61:N61"/>
    <mergeCell ref="C32:N32"/>
    <mergeCell ref="C54:N54"/>
  </mergeCells>
  <pageMargins left="0.51180555555555596" right="0.51180555555555596" top="0.78749999999999998" bottom="0.78749999999999998" header="0.511811023622047" footer="0.511811023622047"/>
  <pageSetup paperSize="9" scale="53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8EB4E3"/>
  </sheetPr>
  <dimension ref="A1:N20"/>
  <sheetViews>
    <sheetView showGridLines="0" zoomScaleNormal="100" workbookViewId="0">
      <selection activeCell="A16" sqref="A16"/>
    </sheetView>
  </sheetViews>
  <sheetFormatPr defaultColWidth="8.88671875" defaultRowHeight="14.4" x14ac:dyDescent="0.3"/>
  <cols>
    <col min="1" max="2" width="25.33203125" customWidth="1"/>
    <col min="3" max="3" width="16.109375" customWidth="1"/>
    <col min="4" max="4" width="16.44140625" customWidth="1"/>
    <col min="5" max="7" width="15.6640625" customWidth="1"/>
    <col min="8" max="8" width="16.109375" customWidth="1"/>
    <col min="9" max="9" width="26.88671875" customWidth="1"/>
    <col min="10" max="14" width="15.6640625" hidden="1" customWidth="1"/>
  </cols>
  <sheetData>
    <row r="1" spans="1:12" ht="15" thickBot="1" x14ac:dyDescent="0.35"/>
    <row r="2" spans="1:12" ht="31.5" customHeight="1" x14ac:dyDescent="0.3">
      <c r="A2" s="148" t="s">
        <v>25</v>
      </c>
      <c r="B2" s="149">
        <v>2016</v>
      </c>
      <c r="C2" s="149">
        <v>2017</v>
      </c>
      <c r="D2" s="149">
        <v>2018</v>
      </c>
      <c r="E2" s="150" t="s">
        <v>26</v>
      </c>
      <c r="F2" s="271"/>
      <c r="G2" s="271"/>
      <c r="H2" s="10"/>
      <c r="I2" s="10"/>
      <c r="J2" s="10"/>
      <c r="K2" s="10"/>
      <c r="L2" s="10"/>
    </row>
    <row r="3" spans="1:12" ht="19.5" customHeight="1" thickBot="1" x14ac:dyDescent="0.35">
      <c r="A3" s="151" t="s">
        <v>27</v>
      </c>
      <c r="B3" s="152">
        <v>3</v>
      </c>
      <c r="C3" s="152">
        <v>3</v>
      </c>
      <c r="D3" s="152">
        <v>1</v>
      </c>
      <c r="E3" s="213">
        <f t="shared" ref="E3:E5" si="0">IFERROR(D3/C3,0)</f>
        <v>0.33333333333333331</v>
      </c>
      <c r="F3" s="272"/>
      <c r="G3" s="272"/>
      <c r="H3" s="11"/>
      <c r="I3" s="11"/>
      <c r="J3" s="11"/>
      <c r="K3" s="11"/>
      <c r="L3" s="11"/>
    </row>
    <row r="4" spans="1:12" ht="19.5" customHeight="1" thickBot="1" x14ac:dyDescent="0.35">
      <c r="A4" s="151" t="s">
        <v>28</v>
      </c>
      <c r="B4" s="152">
        <v>110</v>
      </c>
      <c r="C4" s="152">
        <v>121</v>
      </c>
      <c r="D4" s="152">
        <v>108</v>
      </c>
      <c r="E4" s="213">
        <f t="shared" si="0"/>
        <v>0.8925619834710744</v>
      </c>
      <c r="F4" s="272"/>
      <c r="G4" s="272"/>
      <c r="H4" s="11"/>
      <c r="I4" s="11"/>
      <c r="J4" s="11"/>
      <c r="K4" s="11"/>
      <c r="L4" s="16"/>
    </row>
    <row r="5" spans="1:12" ht="19.5" customHeight="1" thickBot="1" x14ac:dyDescent="0.35">
      <c r="A5" s="151" t="s">
        <v>29</v>
      </c>
      <c r="B5" s="152">
        <v>0</v>
      </c>
      <c r="C5" s="152">
        <v>0</v>
      </c>
      <c r="D5" s="152">
        <v>0</v>
      </c>
      <c r="E5" s="213">
        <f t="shared" si="0"/>
        <v>0</v>
      </c>
      <c r="F5" s="272"/>
      <c r="G5" s="272"/>
      <c r="H5" s="11"/>
      <c r="I5" s="11"/>
      <c r="J5" s="11"/>
      <c r="K5" s="11"/>
      <c r="L5" s="11"/>
    </row>
    <row r="6" spans="1:12" ht="19.5" customHeight="1" thickBot="1" x14ac:dyDescent="0.35">
      <c r="A6" s="153" t="s">
        <v>30</v>
      </c>
      <c r="B6" s="154">
        <f>SUM(B3:B5)</f>
        <v>113</v>
      </c>
      <c r="C6" s="154">
        <f>SUM(C3:C5)</f>
        <v>124</v>
      </c>
      <c r="D6" s="154">
        <f>SUM(D3:D5)</f>
        <v>109</v>
      </c>
      <c r="E6" s="214">
        <f>D6/C6</f>
        <v>0.87903225806451613</v>
      </c>
      <c r="F6" s="272"/>
      <c r="G6" s="272"/>
      <c r="H6" s="12"/>
      <c r="I6" s="12"/>
      <c r="J6" s="12"/>
      <c r="K6" s="12"/>
      <c r="L6" s="12"/>
    </row>
    <row r="7" spans="1:12" ht="19.5" customHeight="1" x14ac:dyDescent="0.3">
      <c r="A7" s="155"/>
      <c r="B7" s="156"/>
      <c r="C7" s="156"/>
      <c r="D7" s="156"/>
      <c r="E7" s="157"/>
      <c r="F7" s="272"/>
      <c r="G7" s="272"/>
      <c r="H7" s="12"/>
      <c r="I7" s="12"/>
      <c r="J7" s="12"/>
      <c r="K7" s="12"/>
      <c r="L7" s="12"/>
    </row>
    <row r="8" spans="1:12" ht="26.4" x14ac:dyDescent="0.3">
      <c r="A8" s="158" t="s">
        <v>25</v>
      </c>
      <c r="B8" s="149">
        <v>2016</v>
      </c>
      <c r="C8" s="149">
        <v>2017</v>
      </c>
      <c r="D8" s="149">
        <v>2018</v>
      </c>
      <c r="E8" s="150" t="s">
        <v>26</v>
      </c>
      <c r="F8" s="272"/>
      <c r="G8" s="272"/>
      <c r="H8" s="12"/>
      <c r="I8" s="12"/>
      <c r="J8" s="12"/>
      <c r="K8" s="12"/>
      <c r="L8" s="12"/>
    </row>
    <row r="9" spans="1:12" x14ac:dyDescent="0.3">
      <c r="A9" s="159" t="s">
        <v>31</v>
      </c>
      <c r="B9" s="160">
        <v>8</v>
      </c>
      <c r="C9" s="160">
        <v>13</v>
      </c>
      <c r="D9" s="160">
        <v>1</v>
      </c>
      <c r="E9" s="213">
        <f t="shared" ref="E9:E12" si="1">IFERROR(D9/C9,0)</f>
        <v>7.6923076923076927E-2</v>
      </c>
      <c r="F9" s="272"/>
      <c r="G9" s="272"/>
      <c r="H9" s="12"/>
      <c r="I9" s="12"/>
      <c r="J9" s="12"/>
      <c r="K9" s="12"/>
      <c r="L9" s="12"/>
    </row>
    <row r="10" spans="1:12" ht="28.2" x14ac:dyDescent="0.3">
      <c r="A10" s="161" t="s">
        <v>32</v>
      </c>
      <c r="B10" s="160">
        <v>19</v>
      </c>
      <c r="C10" s="160">
        <v>38</v>
      </c>
      <c r="D10" s="160">
        <v>4</v>
      </c>
      <c r="E10" s="213">
        <f t="shared" si="1"/>
        <v>0.10526315789473684</v>
      </c>
      <c r="F10" s="272"/>
      <c r="G10" s="272"/>
      <c r="H10" s="12"/>
      <c r="I10" s="12"/>
      <c r="J10" s="12"/>
      <c r="K10" s="12"/>
      <c r="L10" s="12"/>
    </row>
    <row r="11" spans="1:12" ht="19.5" customHeight="1" x14ac:dyDescent="0.3">
      <c r="A11" s="159" t="s">
        <v>33</v>
      </c>
      <c r="B11" s="160">
        <v>110</v>
      </c>
      <c r="C11" s="160">
        <v>134</v>
      </c>
      <c r="D11" s="160">
        <v>108</v>
      </c>
      <c r="E11" s="213">
        <f t="shared" si="1"/>
        <v>0.80597014925373134</v>
      </c>
      <c r="F11" s="272"/>
      <c r="G11" s="272"/>
      <c r="H11" s="12"/>
      <c r="I11" s="12"/>
      <c r="J11" s="12"/>
      <c r="K11" s="12"/>
      <c r="L11" s="12"/>
    </row>
    <row r="12" spans="1:12" ht="19.5" customHeight="1" x14ac:dyDescent="0.3">
      <c r="A12" s="159" t="s">
        <v>34</v>
      </c>
      <c r="B12" s="160">
        <v>10</v>
      </c>
      <c r="C12" s="160">
        <v>6</v>
      </c>
      <c r="D12" s="160">
        <v>4</v>
      </c>
      <c r="E12" s="213">
        <f t="shared" si="1"/>
        <v>0.66666666666666663</v>
      </c>
      <c r="F12" s="272"/>
      <c r="G12" s="272"/>
      <c r="H12" s="12"/>
      <c r="I12" s="12"/>
      <c r="J12" s="12"/>
      <c r="K12" s="12"/>
      <c r="L12" s="12"/>
    </row>
    <row r="13" spans="1:12" ht="28.2" x14ac:dyDescent="0.3">
      <c r="A13" s="161" t="s">
        <v>35</v>
      </c>
      <c r="B13" s="160">
        <v>0</v>
      </c>
      <c r="C13" s="160">
        <v>0</v>
      </c>
      <c r="D13" s="160">
        <v>0</v>
      </c>
      <c r="E13" s="213">
        <f>IFERROR(D13/C13,0)</f>
        <v>0</v>
      </c>
      <c r="F13" s="272"/>
      <c r="G13" s="272"/>
      <c r="H13" s="12"/>
      <c r="I13" s="12"/>
      <c r="J13" s="12"/>
      <c r="K13" s="12"/>
      <c r="L13" s="12"/>
    </row>
    <row r="14" spans="1:12" ht="19.5" customHeight="1" x14ac:dyDescent="0.3">
      <c r="A14" s="159" t="s">
        <v>36</v>
      </c>
      <c r="B14" s="160">
        <v>33</v>
      </c>
      <c r="C14" s="160">
        <v>33</v>
      </c>
      <c r="D14" s="160">
        <v>33</v>
      </c>
      <c r="E14" s="213">
        <f t="shared" ref="E14" si="2">IFERROR(D14/C14,0)</f>
        <v>1</v>
      </c>
      <c r="F14" s="272"/>
      <c r="G14" s="272"/>
      <c r="H14" s="12"/>
      <c r="I14" s="12"/>
      <c r="J14" s="12"/>
      <c r="K14" s="12"/>
      <c r="L14" s="12"/>
    </row>
    <row r="15" spans="1:12" ht="27" customHeight="1" x14ac:dyDescent="0.3">
      <c r="A15" s="162" t="s">
        <v>30</v>
      </c>
      <c r="B15" s="163">
        <f>SUM(B9:B14)</f>
        <v>180</v>
      </c>
      <c r="C15" s="163">
        <f>SUM(C9:C14)</f>
        <v>224</v>
      </c>
      <c r="D15" s="154">
        <f>SUM(D9:D14)</f>
        <v>150</v>
      </c>
      <c r="E15" s="214">
        <f t="shared" ref="E15" si="3">D15/C15</f>
        <v>0.6696428571428571</v>
      </c>
      <c r="F15" s="13"/>
      <c r="G15" s="13"/>
      <c r="H15" s="12"/>
      <c r="I15" s="12"/>
      <c r="J15" s="12"/>
      <c r="K15" s="12"/>
      <c r="L15" s="12"/>
    </row>
    <row r="16" spans="1:12" x14ac:dyDescent="0.3">
      <c r="A16" s="14"/>
      <c r="B16" s="14"/>
      <c r="C16" s="15"/>
      <c r="D16" s="15"/>
      <c r="E16" s="15"/>
      <c r="F16" s="15"/>
      <c r="G16" s="15"/>
    </row>
    <row r="17" spans="1:2" x14ac:dyDescent="0.3">
      <c r="A17" s="14"/>
      <c r="B17" s="14"/>
    </row>
    <row r="18" spans="1:2" x14ac:dyDescent="0.3">
      <c r="A18" s="14"/>
      <c r="B18" s="14"/>
    </row>
    <row r="19" spans="1:2" x14ac:dyDescent="0.3">
      <c r="A19" s="14"/>
      <c r="B19" s="14"/>
    </row>
    <row r="20" spans="1:2" x14ac:dyDescent="0.3">
      <c r="A20" s="14"/>
      <c r="B20" s="14"/>
    </row>
  </sheetData>
  <mergeCells count="2">
    <mergeCell ref="F2:G2"/>
    <mergeCell ref="F3:G14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X25"/>
  <sheetViews>
    <sheetView showGridLines="0"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ColWidth="8.88671875" defaultRowHeight="12" x14ac:dyDescent="0.3"/>
  <cols>
    <col min="1" max="1" width="2.6640625" style="106" customWidth="1"/>
    <col min="2" max="2" width="7.33203125" style="106" bestFit="1" customWidth="1"/>
    <col min="3" max="3" width="8.109375" style="106" customWidth="1"/>
    <col min="4" max="4" width="5.33203125" style="106" bestFit="1" customWidth="1"/>
    <col min="5" max="15" width="9.44140625" style="112" bestFit="1" customWidth="1"/>
    <col min="16" max="17" width="10.88671875" style="112" bestFit="1" customWidth="1"/>
    <col min="18" max="20" width="9.44140625" style="112" bestFit="1" customWidth="1"/>
    <col min="21" max="36" width="10.88671875" style="112" bestFit="1" customWidth="1"/>
    <col min="37" max="40" width="9.44140625" style="112" bestFit="1" customWidth="1"/>
    <col min="41" max="43" width="9.6640625" style="112" customWidth="1"/>
    <col min="44" max="52" width="10.88671875" style="112" bestFit="1" customWidth="1"/>
    <col min="53" max="53" width="11.109375" style="112" customWidth="1"/>
    <col min="54" max="54" width="9.33203125" style="112" customWidth="1"/>
    <col min="55" max="55" width="10.88671875" style="112" bestFit="1" customWidth="1"/>
    <col min="56" max="56" width="11.6640625" style="112" bestFit="1" customWidth="1"/>
    <col min="57" max="64" width="10.88671875" style="112" bestFit="1" customWidth="1"/>
    <col min="65" max="66" width="11.33203125" style="112" bestFit="1" customWidth="1"/>
    <col min="67" max="67" width="10.88671875" style="112" bestFit="1" customWidth="1"/>
    <col min="68" max="16384" width="8.88671875" style="112"/>
  </cols>
  <sheetData>
    <row r="1" spans="2:76" s="106" customFormat="1" x14ac:dyDescent="0.3"/>
    <row r="2" spans="2:76" s="109" customFormat="1" x14ac:dyDescent="0.3">
      <c r="B2" s="107" t="s">
        <v>1593</v>
      </c>
      <c r="C2" s="107" t="s">
        <v>1603</v>
      </c>
      <c r="D2" s="107" t="s">
        <v>1594</v>
      </c>
      <c r="E2" s="108">
        <v>42370</v>
      </c>
      <c r="F2" s="108">
        <v>42401</v>
      </c>
      <c r="G2" s="108">
        <v>42430</v>
      </c>
      <c r="H2" s="108">
        <v>42461</v>
      </c>
      <c r="I2" s="108">
        <v>42491</v>
      </c>
      <c r="J2" s="108">
        <v>42522</v>
      </c>
      <c r="K2" s="108">
        <v>42552</v>
      </c>
      <c r="L2" s="108">
        <v>42583</v>
      </c>
      <c r="M2" s="108">
        <v>42614</v>
      </c>
      <c r="N2" s="108">
        <v>42644</v>
      </c>
      <c r="O2" s="108">
        <v>42675</v>
      </c>
      <c r="P2" s="227">
        <v>42705</v>
      </c>
      <c r="Q2" s="222">
        <v>42736</v>
      </c>
      <c r="R2" s="108">
        <v>42767</v>
      </c>
      <c r="S2" s="108">
        <v>42795</v>
      </c>
      <c r="T2" s="108">
        <v>42826</v>
      </c>
      <c r="U2" s="108">
        <v>42856</v>
      </c>
      <c r="V2" s="108">
        <v>42887</v>
      </c>
      <c r="W2" s="108">
        <v>42917</v>
      </c>
      <c r="X2" s="108">
        <v>42948</v>
      </c>
      <c r="Y2" s="108">
        <v>42979</v>
      </c>
      <c r="Z2" s="108">
        <v>43009</v>
      </c>
      <c r="AA2" s="108">
        <v>43040</v>
      </c>
      <c r="AB2" s="218">
        <v>43070</v>
      </c>
      <c r="AC2" s="222">
        <v>43101</v>
      </c>
      <c r="AD2" s="108">
        <v>43132</v>
      </c>
      <c r="AE2" s="108">
        <v>43160</v>
      </c>
      <c r="AF2" s="108">
        <v>43191</v>
      </c>
      <c r="AG2" s="108">
        <v>43221</v>
      </c>
      <c r="AH2" s="108">
        <v>43252</v>
      </c>
      <c r="AI2" s="108">
        <v>43282</v>
      </c>
      <c r="AJ2" s="108">
        <v>43313</v>
      </c>
      <c r="AK2" s="108">
        <v>43344</v>
      </c>
      <c r="AL2" s="108">
        <v>43374</v>
      </c>
      <c r="AM2" s="108">
        <v>43405</v>
      </c>
      <c r="AN2" s="218">
        <v>43435</v>
      </c>
      <c r="AO2" s="234">
        <f>EDATE(AN2,1)</f>
        <v>43466</v>
      </c>
      <c r="AP2" s="108">
        <f t="shared" ref="AP2:BX2" si="0">EDATE(AO2,1)</f>
        <v>43497</v>
      </c>
      <c r="AQ2" s="108">
        <f t="shared" si="0"/>
        <v>43525</v>
      </c>
      <c r="AR2" s="108">
        <f t="shared" si="0"/>
        <v>43556</v>
      </c>
      <c r="AS2" s="108">
        <f t="shared" si="0"/>
        <v>43586</v>
      </c>
      <c r="AT2" s="108">
        <f t="shared" si="0"/>
        <v>43617</v>
      </c>
      <c r="AU2" s="108">
        <f t="shared" si="0"/>
        <v>43647</v>
      </c>
      <c r="AV2" s="108">
        <f t="shared" si="0"/>
        <v>43678</v>
      </c>
      <c r="AW2" s="108">
        <f t="shared" si="0"/>
        <v>43709</v>
      </c>
      <c r="AX2" s="108">
        <f t="shared" si="0"/>
        <v>43739</v>
      </c>
      <c r="AY2" s="108">
        <f t="shared" si="0"/>
        <v>43770</v>
      </c>
      <c r="AZ2" s="218">
        <f t="shared" si="0"/>
        <v>43800</v>
      </c>
      <c r="BA2" s="222">
        <f t="shared" si="0"/>
        <v>43831</v>
      </c>
      <c r="BB2" s="108">
        <f t="shared" si="0"/>
        <v>43862</v>
      </c>
      <c r="BC2" s="108">
        <f t="shared" si="0"/>
        <v>43891</v>
      </c>
      <c r="BD2" s="108">
        <f t="shared" si="0"/>
        <v>43922</v>
      </c>
      <c r="BE2" s="108">
        <f t="shared" si="0"/>
        <v>43952</v>
      </c>
      <c r="BF2" s="108">
        <f t="shared" si="0"/>
        <v>43983</v>
      </c>
      <c r="BG2" s="108">
        <f t="shared" si="0"/>
        <v>44013</v>
      </c>
      <c r="BH2" s="108">
        <f t="shared" si="0"/>
        <v>44044</v>
      </c>
      <c r="BI2" s="108">
        <f t="shared" si="0"/>
        <v>44075</v>
      </c>
      <c r="BJ2" s="108">
        <f t="shared" si="0"/>
        <v>44105</v>
      </c>
      <c r="BK2" s="108">
        <f t="shared" si="0"/>
        <v>44136</v>
      </c>
      <c r="BL2" s="218">
        <f t="shared" si="0"/>
        <v>44166</v>
      </c>
      <c r="BM2" s="222">
        <f t="shared" si="0"/>
        <v>44197</v>
      </c>
      <c r="BN2" s="108">
        <f t="shared" si="0"/>
        <v>44228</v>
      </c>
      <c r="BO2" s="108">
        <f t="shared" si="0"/>
        <v>44256</v>
      </c>
      <c r="BP2" s="108">
        <f t="shared" si="0"/>
        <v>44287</v>
      </c>
      <c r="BQ2" s="108">
        <f t="shared" si="0"/>
        <v>44317</v>
      </c>
      <c r="BR2" s="108">
        <f t="shared" si="0"/>
        <v>44348</v>
      </c>
      <c r="BS2" s="108">
        <f t="shared" si="0"/>
        <v>44378</v>
      </c>
      <c r="BT2" s="108">
        <f t="shared" si="0"/>
        <v>44409</v>
      </c>
      <c r="BU2" s="108">
        <f t="shared" si="0"/>
        <v>44440</v>
      </c>
      <c r="BV2" s="108">
        <f t="shared" si="0"/>
        <v>44470</v>
      </c>
      <c r="BW2" s="108">
        <f t="shared" si="0"/>
        <v>44501</v>
      </c>
      <c r="BX2" s="108">
        <f t="shared" si="0"/>
        <v>44531</v>
      </c>
    </row>
    <row r="3" spans="2:76" ht="12" customHeight="1" x14ac:dyDescent="0.3">
      <c r="B3" s="273" t="s">
        <v>1595</v>
      </c>
      <c r="C3" s="276" t="s">
        <v>1559</v>
      </c>
      <c r="D3" s="110" t="s">
        <v>1596</v>
      </c>
      <c r="E3" s="111">
        <v>50</v>
      </c>
      <c r="F3" s="111">
        <v>24.7</v>
      </c>
      <c r="G3" s="111">
        <v>291.51</v>
      </c>
      <c r="H3" s="111">
        <v>199774.45</v>
      </c>
      <c r="I3" s="111">
        <v>11430.64</v>
      </c>
      <c r="J3" s="111">
        <v>215.61</v>
      </c>
      <c r="K3" s="111">
        <v>190.31</v>
      </c>
      <c r="L3" s="111">
        <v>165.01</v>
      </c>
      <c r="M3" s="111"/>
      <c r="N3" s="111"/>
      <c r="O3" s="111"/>
      <c r="P3" s="228"/>
      <c r="Q3" s="223"/>
      <c r="R3" s="111"/>
      <c r="S3" s="111"/>
      <c r="T3" s="111"/>
      <c r="U3" s="111"/>
      <c r="V3" s="111"/>
      <c r="W3" s="257"/>
      <c r="X3" s="111"/>
      <c r="Y3" s="111"/>
      <c r="Z3" s="111"/>
      <c r="AA3" s="111"/>
      <c r="AB3" s="219"/>
      <c r="AC3" s="223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219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</row>
    <row r="4" spans="2:76" ht="13.5" customHeight="1" x14ac:dyDescent="0.3">
      <c r="B4" s="274"/>
      <c r="C4" s="276"/>
      <c r="D4" s="110" t="s">
        <v>1597</v>
      </c>
      <c r="E4" s="111">
        <v>24.7</v>
      </c>
      <c r="F4" s="111">
        <v>291.51</v>
      </c>
      <c r="G4" s="111">
        <v>199774.45</v>
      </c>
      <c r="H4" s="111">
        <v>11430.64</v>
      </c>
      <c r="I4" s="111">
        <v>215.61</v>
      </c>
      <c r="J4" s="111">
        <v>190.31</v>
      </c>
      <c r="K4" s="111">
        <v>165.01</v>
      </c>
      <c r="L4" s="111">
        <v>24.7</v>
      </c>
      <c r="M4" s="111"/>
      <c r="N4" s="111"/>
      <c r="O4" s="111"/>
      <c r="P4" s="228"/>
      <c r="Q4" s="223"/>
      <c r="R4" s="111"/>
      <c r="S4" s="111"/>
      <c r="T4" s="111"/>
      <c r="U4" s="111"/>
      <c r="V4" s="257"/>
      <c r="W4" s="111"/>
      <c r="X4" s="111"/>
      <c r="Y4" s="111"/>
      <c r="Z4" s="111"/>
      <c r="AA4" s="111"/>
      <c r="AB4" s="219"/>
      <c r="AC4" s="223"/>
      <c r="AD4" s="111"/>
      <c r="AE4" s="111"/>
      <c r="AF4" s="254"/>
      <c r="AG4" s="111"/>
      <c r="AH4" s="111"/>
      <c r="AI4" s="111"/>
      <c r="AJ4" s="111"/>
      <c r="AK4" s="111"/>
      <c r="AL4" s="111"/>
      <c r="AM4" s="111"/>
      <c r="AN4" s="23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219"/>
      <c r="AZ4" s="111"/>
      <c r="BA4" s="111"/>
      <c r="BB4" s="219"/>
      <c r="BC4" s="146"/>
      <c r="BD4" s="146"/>
      <c r="BE4" s="146"/>
      <c r="BF4" s="146"/>
      <c r="BG4" s="146"/>
      <c r="BH4" s="146"/>
      <c r="BI4" s="146"/>
      <c r="BJ4" s="146"/>
      <c r="BK4" s="146"/>
      <c r="BL4" s="111"/>
      <c r="BM4" s="111"/>
      <c r="BN4" s="219"/>
      <c r="BO4" s="111"/>
      <c r="BP4" s="111"/>
      <c r="BQ4" s="111"/>
      <c r="BR4" s="111"/>
      <c r="BS4" s="111"/>
      <c r="BT4" s="111"/>
      <c r="BU4" s="111"/>
      <c r="BV4" s="111"/>
      <c r="BW4" s="111"/>
      <c r="BX4" s="111"/>
    </row>
    <row r="5" spans="2:76" ht="13.5" customHeight="1" x14ac:dyDescent="0.3">
      <c r="B5" s="274"/>
      <c r="C5" s="276" t="s">
        <v>1557</v>
      </c>
      <c r="D5" s="110" t="s">
        <v>1596</v>
      </c>
      <c r="E5" s="111">
        <v>50</v>
      </c>
      <c r="F5" s="111">
        <v>50</v>
      </c>
      <c r="G5" s="111">
        <v>50</v>
      </c>
      <c r="H5" s="111">
        <v>77875.78</v>
      </c>
      <c r="I5" s="111">
        <v>91326.14</v>
      </c>
      <c r="J5" s="111">
        <v>243007.75</v>
      </c>
      <c r="K5" s="111">
        <v>50</v>
      </c>
      <c r="L5" s="111">
        <v>50</v>
      </c>
      <c r="M5" s="111"/>
      <c r="N5" s="111"/>
      <c r="O5" s="111"/>
      <c r="P5" s="228"/>
      <c r="Q5" s="223"/>
      <c r="R5" s="111"/>
      <c r="S5" s="111"/>
      <c r="T5" s="111"/>
      <c r="U5" s="111"/>
      <c r="V5" s="111"/>
      <c r="W5" s="258"/>
      <c r="X5" s="111"/>
      <c r="Y5" s="111"/>
      <c r="Z5" s="111"/>
      <c r="AA5" s="111"/>
      <c r="AB5" s="219"/>
      <c r="AC5" s="223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219"/>
      <c r="AZ5" s="111"/>
      <c r="BA5" s="111"/>
      <c r="BB5" s="219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219"/>
      <c r="BO5" s="111"/>
      <c r="BP5" s="111"/>
      <c r="BQ5" s="111"/>
      <c r="BR5" s="111"/>
      <c r="BS5" s="111"/>
      <c r="BT5" s="111"/>
      <c r="BU5" s="111"/>
      <c r="BV5" s="111"/>
      <c r="BW5" s="111"/>
      <c r="BX5" s="111"/>
    </row>
    <row r="6" spans="2:76" ht="13.5" customHeight="1" x14ac:dyDescent="0.3">
      <c r="B6" s="274"/>
      <c r="C6" s="276"/>
      <c r="D6" s="110" t="s">
        <v>1597</v>
      </c>
      <c r="E6" s="111">
        <v>50</v>
      </c>
      <c r="F6" s="111">
        <v>50</v>
      </c>
      <c r="G6" s="111">
        <v>77875.78</v>
      </c>
      <c r="H6" s="111">
        <v>91326.14</v>
      </c>
      <c r="I6" s="111">
        <v>243007.75</v>
      </c>
      <c r="J6" s="111">
        <v>50</v>
      </c>
      <c r="K6" s="111">
        <v>50</v>
      </c>
      <c r="L6" s="111">
        <v>50</v>
      </c>
      <c r="M6" s="111"/>
      <c r="N6" s="111"/>
      <c r="O6" s="111"/>
      <c r="P6" s="228"/>
      <c r="Q6" s="223"/>
      <c r="R6" s="111"/>
      <c r="S6" s="111"/>
      <c r="T6" s="111"/>
      <c r="U6" s="111"/>
      <c r="V6" s="258"/>
      <c r="W6" s="111"/>
      <c r="X6" s="111"/>
      <c r="Y6" s="111"/>
      <c r="Z6" s="111"/>
      <c r="AA6" s="111"/>
      <c r="AB6" s="219"/>
      <c r="AC6" s="223"/>
      <c r="AD6" s="111"/>
      <c r="AE6" s="111"/>
      <c r="AF6" s="254"/>
      <c r="AG6" s="111"/>
      <c r="AH6" s="111"/>
      <c r="AI6" s="111"/>
      <c r="AJ6" s="111"/>
      <c r="AK6" s="111"/>
      <c r="AL6" s="111"/>
      <c r="AM6" s="111"/>
      <c r="AN6" s="23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219"/>
      <c r="AZ6" s="111"/>
      <c r="BA6" s="111"/>
      <c r="BB6" s="219"/>
      <c r="BC6" s="146"/>
      <c r="BD6" s="146"/>
      <c r="BE6" s="146"/>
      <c r="BF6" s="146"/>
      <c r="BG6" s="146"/>
      <c r="BH6" s="146"/>
      <c r="BI6" s="146"/>
      <c r="BJ6" s="146"/>
      <c r="BK6" s="146"/>
      <c r="BL6" s="111"/>
      <c r="BM6" s="111"/>
      <c r="BN6" s="219"/>
      <c r="BO6" s="111"/>
      <c r="BP6" s="111"/>
      <c r="BQ6" s="111"/>
      <c r="BR6" s="111"/>
      <c r="BS6" s="111"/>
      <c r="BT6" s="111"/>
      <c r="BU6" s="111"/>
      <c r="BV6" s="111"/>
      <c r="BW6" s="111"/>
      <c r="BX6" s="111"/>
    </row>
    <row r="7" spans="2:76" ht="13.5" customHeight="1" x14ac:dyDescent="0.3">
      <c r="B7" s="274"/>
      <c r="C7" s="276" t="s">
        <v>1560</v>
      </c>
      <c r="D7" s="110" t="s">
        <v>1596</v>
      </c>
      <c r="E7" s="111">
        <v>50</v>
      </c>
      <c r="F7" s="111">
        <v>24.7</v>
      </c>
      <c r="G7" s="111">
        <v>50</v>
      </c>
      <c r="H7" s="111">
        <v>50</v>
      </c>
      <c r="I7" s="111">
        <v>24.7</v>
      </c>
      <c r="J7" s="111">
        <v>50</v>
      </c>
      <c r="K7" s="111">
        <v>24.7</v>
      </c>
      <c r="L7" s="111">
        <v>24.7</v>
      </c>
      <c r="M7" s="111"/>
      <c r="N7" s="111"/>
      <c r="O7" s="111"/>
      <c r="P7" s="228"/>
      <c r="Q7" s="223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219"/>
      <c r="AC7" s="223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23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219"/>
      <c r="AZ7" s="111"/>
      <c r="BA7" s="111"/>
      <c r="BB7" s="219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219"/>
      <c r="BO7" s="111"/>
      <c r="BP7" s="111"/>
      <c r="BQ7" s="111"/>
      <c r="BR7" s="111"/>
      <c r="BS7" s="111"/>
      <c r="BT7" s="111"/>
      <c r="BU7" s="111"/>
      <c r="BV7" s="111"/>
      <c r="BW7" s="111"/>
      <c r="BX7" s="111"/>
    </row>
    <row r="8" spans="2:76" ht="13.5" customHeight="1" x14ac:dyDescent="0.3">
      <c r="B8" s="275"/>
      <c r="C8" s="276"/>
      <c r="D8" s="110" t="s">
        <v>1597</v>
      </c>
      <c r="E8" s="111">
        <v>24.7</v>
      </c>
      <c r="F8" s="111">
        <v>50</v>
      </c>
      <c r="G8" s="111">
        <v>50</v>
      </c>
      <c r="H8" s="111">
        <v>24.7</v>
      </c>
      <c r="I8" s="111">
        <v>50</v>
      </c>
      <c r="J8" s="111">
        <v>24.7</v>
      </c>
      <c r="K8" s="111">
        <v>24.7</v>
      </c>
      <c r="L8" s="111">
        <v>24.7</v>
      </c>
      <c r="M8" s="111"/>
      <c r="N8" s="111"/>
      <c r="O8" s="111"/>
      <c r="P8" s="228"/>
      <c r="Q8" s="223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219"/>
      <c r="AC8" s="223"/>
      <c r="AD8" s="111"/>
      <c r="AE8" s="111"/>
      <c r="AF8" s="254"/>
      <c r="AG8" s="111"/>
      <c r="AH8" s="111"/>
      <c r="AI8" s="111"/>
      <c r="AJ8" s="111"/>
      <c r="AK8" s="111"/>
      <c r="AL8" s="111"/>
      <c r="AM8" s="111"/>
      <c r="AN8" s="23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219"/>
      <c r="AZ8" s="111"/>
      <c r="BA8" s="111"/>
      <c r="BB8" s="219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219"/>
      <c r="BO8" s="111"/>
      <c r="BP8" s="111"/>
      <c r="BQ8" s="111"/>
      <c r="BR8" s="111"/>
      <c r="BS8" s="111"/>
      <c r="BT8" s="111"/>
      <c r="BU8" s="111"/>
      <c r="BV8" s="111"/>
      <c r="BW8" s="111"/>
      <c r="BX8" s="111"/>
    </row>
    <row r="9" spans="2:76" x14ac:dyDescent="0.3">
      <c r="B9" s="147"/>
      <c r="C9" s="143" t="s">
        <v>1599</v>
      </c>
      <c r="D9" s="107"/>
      <c r="E9" s="235">
        <f t="shared" ref="E9:AJ9" si="1">SUM(E3,E5,E7)</f>
        <v>150</v>
      </c>
      <c r="F9" s="235">
        <f t="shared" si="1"/>
        <v>99.4</v>
      </c>
      <c r="G9" s="235">
        <f t="shared" si="1"/>
        <v>391.51</v>
      </c>
      <c r="H9" s="235">
        <f t="shared" si="1"/>
        <v>277700.23</v>
      </c>
      <c r="I9" s="235">
        <f t="shared" si="1"/>
        <v>102781.48</v>
      </c>
      <c r="J9" s="235">
        <f t="shared" si="1"/>
        <v>243273.36</v>
      </c>
      <c r="K9" s="235">
        <f t="shared" si="1"/>
        <v>265.01</v>
      </c>
      <c r="L9" s="235">
        <f t="shared" si="1"/>
        <v>239.70999999999998</v>
      </c>
      <c r="M9" s="235">
        <f t="shared" si="1"/>
        <v>0</v>
      </c>
      <c r="N9" s="235">
        <f t="shared" si="1"/>
        <v>0</v>
      </c>
      <c r="O9" s="235">
        <f t="shared" si="1"/>
        <v>0</v>
      </c>
      <c r="P9" s="236">
        <f t="shared" si="1"/>
        <v>0</v>
      </c>
      <c r="Q9" s="237">
        <f t="shared" si="1"/>
        <v>0</v>
      </c>
      <c r="R9" s="235">
        <f t="shared" si="1"/>
        <v>0</v>
      </c>
      <c r="S9" s="235">
        <f t="shared" si="1"/>
        <v>0</v>
      </c>
      <c r="T9" s="235">
        <f t="shared" si="1"/>
        <v>0</v>
      </c>
      <c r="U9" s="235">
        <f t="shared" si="1"/>
        <v>0</v>
      </c>
      <c r="V9" s="235">
        <f t="shared" si="1"/>
        <v>0</v>
      </c>
      <c r="W9" s="235">
        <f t="shared" si="1"/>
        <v>0</v>
      </c>
      <c r="X9" s="235">
        <f t="shared" si="1"/>
        <v>0</v>
      </c>
      <c r="Y9" s="235">
        <f t="shared" si="1"/>
        <v>0</v>
      </c>
      <c r="Z9" s="235">
        <f t="shared" si="1"/>
        <v>0</v>
      </c>
      <c r="AA9" s="235">
        <f t="shared" si="1"/>
        <v>0</v>
      </c>
      <c r="AB9" s="238">
        <f t="shared" si="1"/>
        <v>0</v>
      </c>
      <c r="AC9" s="237">
        <f t="shared" si="1"/>
        <v>0</v>
      </c>
      <c r="AD9" s="235">
        <f t="shared" si="1"/>
        <v>0</v>
      </c>
      <c r="AE9" s="235">
        <f t="shared" si="1"/>
        <v>0</v>
      </c>
      <c r="AF9" s="235">
        <f t="shared" si="1"/>
        <v>0</v>
      </c>
      <c r="AG9" s="235">
        <f t="shared" si="1"/>
        <v>0</v>
      </c>
      <c r="AH9" s="235">
        <f t="shared" si="1"/>
        <v>0</v>
      </c>
      <c r="AI9" s="235">
        <f t="shared" si="1"/>
        <v>0</v>
      </c>
      <c r="AJ9" s="235">
        <f t="shared" si="1"/>
        <v>0</v>
      </c>
      <c r="AK9" s="235">
        <f t="shared" ref="AK9:BP9" si="2">SUM(AK3,AK5,AK7)</f>
        <v>0</v>
      </c>
      <c r="AL9" s="235">
        <f t="shared" si="2"/>
        <v>0</v>
      </c>
      <c r="AM9" s="235">
        <f t="shared" si="2"/>
        <v>0</v>
      </c>
      <c r="AN9" s="239">
        <f t="shared" si="2"/>
        <v>0</v>
      </c>
      <c r="AO9" s="235">
        <f t="shared" si="2"/>
        <v>0</v>
      </c>
      <c r="AP9" s="235">
        <f t="shared" si="2"/>
        <v>0</v>
      </c>
      <c r="AQ9" s="235">
        <f t="shared" si="2"/>
        <v>0</v>
      </c>
      <c r="AR9" s="235">
        <f t="shared" si="2"/>
        <v>0</v>
      </c>
      <c r="AS9" s="235">
        <f t="shared" si="2"/>
        <v>0</v>
      </c>
      <c r="AT9" s="235">
        <f t="shared" si="2"/>
        <v>0</v>
      </c>
      <c r="AU9" s="235">
        <f t="shared" si="2"/>
        <v>0</v>
      </c>
      <c r="AV9" s="235">
        <f t="shared" si="2"/>
        <v>0</v>
      </c>
      <c r="AW9" s="235">
        <f t="shared" si="2"/>
        <v>0</v>
      </c>
      <c r="AX9" s="235">
        <f t="shared" si="2"/>
        <v>0</v>
      </c>
      <c r="AY9" s="238">
        <f t="shared" si="2"/>
        <v>0</v>
      </c>
      <c r="AZ9" s="235">
        <f t="shared" si="2"/>
        <v>0</v>
      </c>
      <c r="BA9" s="235">
        <f t="shared" si="2"/>
        <v>0</v>
      </c>
      <c r="BB9" s="238">
        <f t="shared" si="2"/>
        <v>0</v>
      </c>
      <c r="BC9" s="235">
        <f t="shared" si="2"/>
        <v>0</v>
      </c>
      <c r="BD9" s="235">
        <f t="shared" si="2"/>
        <v>0</v>
      </c>
      <c r="BE9" s="235">
        <f t="shared" si="2"/>
        <v>0</v>
      </c>
      <c r="BF9" s="235">
        <f t="shared" si="2"/>
        <v>0</v>
      </c>
      <c r="BG9" s="235">
        <f t="shared" si="2"/>
        <v>0</v>
      </c>
      <c r="BH9" s="235">
        <f t="shared" si="2"/>
        <v>0</v>
      </c>
      <c r="BI9" s="235">
        <f t="shared" si="2"/>
        <v>0</v>
      </c>
      <c r="BJ9" s="235">
        <f t="shared" si="2"/>
        <v>0</v>
      </c>
      <c r="BK9" s="235">
        <f t="shared" si="2"/>
        <v>0</v>
      </c>
      <c r="BL9" s="235">
        <f t="shared" si="2"/>
        <v>0</v>
      </c>
      <c r="BM9" s="235">
        <f t="shared" si="2"/>
        <v>0</v>
      </c>
      <c r="BN9" s="238">
        <f t="shared" si="2"/>
        <v>0</v>
      </c>
      <c r="BO9" s="235">
        <f t="shared" si="2"/>
        <v>0</v>
      </c>
      <c r="BP9" s="235">
        <f t="shared" si="2"/>
        <v>0</v>
      </c>
      <c r="BQ9" s="235">
        <f t="shared" ref="BQ9:BX9" si="3">SUM(BQ3,BQ5,BQ7)</f>
        <v>0</v>
      </c>
      <c r="BR9" s="235">
        <f t="shared" si="3"/>
        <v>0</v>
      </c>
      <c r="BS9" s="235">
        <f t="shared" si="3"/>
        <v>0</v>
      </c>
      <c r="BT9" s="235">
        <f t="shared" si="3"/>
        <v>0</v>
      </c>
      <c r="BU9" s="235">
        <f t="shared" si="3"/>
        <v>0</v>
      </c>
      <c r="BV9" s="235">
        <f t="shared" si="3"/>
        <v>0</v>
      </c>
      <c r="BW9" s="235">
        <f t="shared" si="3"/>
        <v>0</v>
      </c>
      <c r="BX9" s="235">
        <f t="shared" si="3"/>
        <v>0</v>
      </c>
    </row>
    <row r="10" spans="2:76" x14ac:dyDescent="0.3">
      <c r="B10" s="147"/>
      <c r="C10" s="143" t="s">
        <v>1600</v>
      </c>
      <c r="D10" s="107"/>
      <c r="E10" s="235">
        <f t="shared" ref="E10:AJ10" si="4">SUM(E4,E6,E8)</f>
        <v>99.4</v>
      </c>
      <c r="F10" s="235">
        <f t="shared" si="4"/>
        <v>391.51</v>
      </c>
      <c r="G10" s="235">
        <f t="shared" si="4"/>
        <v>277700.23</v>
      </c>
      <c r="H10" s="235">
        <f t="shared" si="4"/>
        <v>102781.48</v>
      </c>
      <c r="I10" s="235">
        <f t="shared" si="4"/>
        <v>243273.36</v>
      </c>
      <c r="J10" s="235">
        <f t="shared" si="4"/>
        <v>265.01</v>
      </c>
      <c r="K10" s="235">
        <f t="shared" si="4"/>
        <v>239.70999999999998</v>
      </c>
      <c r="L10" s="235">
        <f t="shared" si="4"/>
        <v>99.4</v>
      </c>
      <c r="M10" s="235">
        <f t="shared" si="4"/>
        <v>0</v>
      </c>
      <c r="N10" s="235">
        <f t="shared" si="4"/>
        <v>0</v>
      </c>
      <c r="O10" s="235">
        <f t="shared" si="4"/>
        <v>0</v>
      </c>
      <c r="P10" s="236">
        <f t="shared" si="4"/>
        <v>0</v>
      </c>
      <c r="Q10" s="237">
        <f t="shared" si="4"/>
        <v>0</v>
      </c>
      <c r="R10" s="235">
        <f t="shared" si="4"/>
        <v>0</v>
      </c>
      <c r="S10" s="235">
        <f t="shared" si="4"/>
        <v>0</v>
      </c>
      <c r="T10" s="235">
        <f t="shared" si="4"/>
        <v>0</v>
      </c>
      <c r="U10" s="235">
        <f t="shared" si="4"/>
        <v>0</v>
      </c>
      <c r="V10" s="235">
        <f t="shared" si="4"/>
        <v>0</v>
      </c>
      <c r="W10" s="235">
        <f t="shared" si="4"/>
        <v>0</v>
      </c>
      <c r="X10" s="235">
        <f t="shared" si="4"/>
        <v>0</v>
      </c>
      <c r="Y10" s="235">
        <f t="shared" si="4"/>
        <v>0</v>
      </c>
      <c r="Z10" s="235">
        <f t="shared" si="4"/>
        <v>0</v>
      </c>
      <c r="AA10" s="235">
        <f t="shared" si="4"/>
        <v>0</v>
      </c>
      <c r="AB10" s="238">
        <f t="shared" si="4"/>
        <v>0</v>
      </c>
      <c r="AC10" s="237">
        <f t="shared" si="4"/>
        <v>0</v>
      </c>
      <c r="AD10" s="235">
        <f t="shared" si="4"/>
        <v>0</v>
      </c>
      <c r="AE10" s="235">
        <f t="shared" si="4"/>
        <v>0</v>
      </c>
      <c r="AF10" s="235">
        <f t="shared" si="4"/>
        <v>0</v>
      </c>
      <c r="AG10" s="235">
        <f t="shared" si="4"/>
        <v>0</v>
      </c>
      <c r="AH10" s="235">
        <f t="shared" si="4"/>
        <v>0</v>
      </c>
      <c r="AI10" s="235">
        <f t="shared" si="4"/>
        <v>0</v>
      </c>
      <c r="AJ10" s="235">
        <f t="shared" si="4"/>
        <v>0</v>
      </c>
      <c r="AK10" s="235">
        <f t="shared" ref="AK10:BP10" si="5">SUM(AK4,AK6,AK8)</f>
        <v>0</v>
      </c>
      <c r="AL10" s="235">
        <f t="shared" si="5"/>
        <v>0</v>
      </c>
      <c r="AM10" s="235">
        <f t="shared" si="5"/>
        <v>0</v>
      </c>
      <c r="AN10" s="235">
        <f t="shared" si="5"/>
        <v>0</v>
      </c>
      <c r="AO10" s="235">
        <f t="shared" si="5"/>
        <v>0</v>
      </c>
      <c r="AP10" s="235">
        <f t="shared" si="5"/>
        <v>0</v>
      </c>
      <c r="AQ10" s="235">
        <f t="shared" si="5"/>
        <v>0</v>
      </c>
      <c r="AR10" s="235">
        <f t="shared" si="5"/>
        <v>0</v>
      </c>
      <c r="AS10" s="235">
        <f t="shared" si="5"/>
        <v>0</v>
      </c>
      <c r="AT10" s="235">
        <f t="shared" si="5"/>
        <v>0</v>
      </c>
      <c r="AU10" s="235">
        <f t="shared" si="5"/>
        <v>0</v>
      </c>
      <c r="AV10" s="235">
        <f t="shared" si="5"/>
        <v>0</v>
      </c>
      <c r="AW10" s="235">
        <f t="shared" si="5"/>
        <v>0</v>
      </c>
      <c r="AX10" s="235">
        <f t="shared" si="5"/>
        <v>0</v>
      </c>
      <c r="AY10" s="238">
        <f t="shared" si="5"/>
        <v>0</v>
      </c>
      <c r="AZ10" s="235">
        <f t="shared" si="5"/>
        <v>0</v>
      </c>
      <c r="BA10" s="235">
        <f t="shared" si="5"/>
        <v>0</v>
      </c>
      <c r="BB10" s="238">
        <f t="shared" si="5"/>
        <v>0</v>
      </c>
      <c r="BC10" s="235">
        <f t="shared" si="5"/>
        <v>0</v>
      </c>
      <c r="BD10" s="235">
        <f t="shared" si="5"/>
        <v>0</v>
      </c>
      <c r="BE10" s="235">
        <f t="shared" si="5"/>
        <v>0</v>
      </c>
      <c r="BF10" s="235">
        <f t="shared" si="5"/>
        <v>0</v>
      </c>
      <c r="BG10" s="235">
        <f t="shared" si="5"/>
        <v>0</v>
      </c>
      <c r="BH10" s="235">
        <f t="shared" si="5"/>
        <v>0</v>
      </c>
      <c r="BI10" s="235">
        <f t="shared" si="5"/>
        <v>0</v>
      </c>
      <c r="BJ10" s="235">
        <f t="shared" si="5"/>
        <v>0</v>
      </c>
      <c r="BK10" s="235">
        <f t="shared" si="5"/>
        <v>0</v>
      </c>
      <c r="BL10" s="235">
        <f t="shared" si="5"/>
        <v>0</v>
      </c>
      <c r="BM10" s="235">
        <f t="shared" si="5"/>
        <v>0</v>
      </c>
      <c r="BN10" s="238">
        <f t="shared" si="5"/>
        <v>0</v>
      </c>
      <c r="BO10" s="235">
        <f t="shared" si="5"/>
        <v>0</v>
      </c>
      <c r="BP10" s="235">
        <f t="shared" si="5"/>
        <v>0</v>
      </c>
      <c r="BQ10" s="235">
        <f t="shared" ref="BQ10:BX10" si="6">SUM(BQ4,BQ6,BQ8)</f>
        <v>0</v>
      </c>
      <c r="BR10" s="235">
        <f t="shared" si="6"/>
        <v>0</v>
      </c>
      <c r="BS10" s="235">
        <f t="shared" si="6"/>
        <v>0</v>
      </c>
      <c r="BT10" s="235">
        <f t="shared" si="6"/>
        <v>0</v>
      </c>
      <c r="BU10" s="235">
        <f t="shared" si="6"/>
        <v>0</v>
      </c>
      <c r="BV10" s="235">
        <f t="shared" si="6"/>
        <v>0</v>
      </c>
      <c r="BW10" s="235">
        <f t="shared" si="6"/>
        <v>0</v>
      </c>
      <c r="BX10" s="235">
        <f t="shared" si="6"/>
        <v>0</v>
      </c>
    </row>
    <row r="11" spans="2:76" x14ac:dyDescent="0.3">
      <c r="P11" s="215"/>
      <c r="Q11" s="224"/>
      <c r="AC11" s="224"/>
    </row>
    <row r="12" spans="2:76" x14ac:dyDescent="0.3">
      <c r="B12" s="143" t="s">
        <v>1593</v>
      </c>
      <c r="C12" s="143" t="s">
        <v>1602</v>
      </c>
      <c r="D12" s="143" t="s">
        <v>1594</v>
      </c>
      <c r="E12" s="144">
        <v>42370</v>
      </c>
      <c r="F12" s="144">
        <v>42401</v>
      </c>
      <c r="G12" s="144">
        <v>42430</v>
      </c>
      <c r="H12" s="144">
        <v>42461</v>
      </c>
      <c r="I12" s="144">
        <v>42491</v>
      </c>
      <c r="J12" s="144">
        <v>42522</v>
      </c>
      <c r="K12" s="144">
        <v>42552</v>
      </c>
      <c r="L12" s="144">
        <v>42583</v>
      </c>
      <c r="M12" s="144">
        <v>42614</v>
      </c>
      <c r="N12" s="144">
        <v>42644</v>
      </c>
      <c r="O12" s="144">
        <v>42675</v>
      </c>
      <c r="P12" s="229">
        <v>42705</v>
      </c>
      <c r="Q12" s="225">
        <v>42736</v>
      </c>
      <c r="R12" s="144">
        <v>42767</v>
      </c>
      <c r="S12" s="144">
        <v>42795</v>
      </c>
      <c r="T12" s="144">
        <v>42826</v>
      </c>
      <c r="U12" s="144">
        <v>42856</v>
      </c>
      <c r="V12" s="144">
        <v>42887</v>
      </c>
      <c r="W12" s="144">
        <v>42917</v>
      </c>
      <c r="X12" s="144">
        <v>42948</v>
      </c>
      <c r="Y12" s="144">
        <v>42979</v>
      </c>
      <c r="Z12" s="144">
        <v>43009</v>
      </c>
      <c r="AA12" s="144">
        <v>43040</v>
      </c>
      <c r="AB12" s="220">
        <v>43070</v>
      </c>
      <c r="AC12" s="225">
        <v>43101</v>
      </c>
      <c r="AD12" s="144">
        <v>43132</v>
      </c>
      <c r="AE12" s="144">
        <v>43160</v>
      </c>
      <c r="AF12" s="144">
        <v>43191</v>
      </c>
      <c r="AG12" s="144">
        <v>43221</v>
      </c>
      <c r="AH12" s="144">
        <v>43252</v>
      </c>
      <c r="AI12" s="144">
        <v>43282</v>
      </c>
      <c r="AJ12" s="144">
        <v>43313</v>
      </c>
      <c r="AK12" s="144">
        <v>43344</v>
      </c>
      <c r="AL12" s="144">
        <v>43374</v>
      </c>
      <c r="AM12" s="144">
        <v>43405</v>
      </c>
      <c r="AN12" s="232">
        <v>43435</v>
      </c>
      <c r="AO12" s="108">
        <f>EDATE(AN12,1)</f>
        <v>43466</v>
      </c>
      <c r="AP12" s="108">
        <f t="shared" ref="AP12:BX12" si="7">EDATE(AO12,1)</f>
        <v>43497</v>
      </c>
      <c r="AQ12" s="108">
        <f t="shared" si="7"/>
        <v>43525</v>
      </c>
      <c r="AR12" s="108">
        <f t="shared" si="7"/>
        <v>43556</v>
      </c>
      <c r="AS12" s="108">
        <f t="shared" si="7"/>
        <v>43586</v>
      </c>
      <c r="AT12" s="108">
        <f t="shared" si="7"/>
        <v>43617</v>
      </c>
      <c r="AU12" s="108">
        <f t="shared" si="7"/>
        <v>43647</v>
      </c>
      <c r="AV12" s="108">
        <f t="shared" si="7"/>
        <v>43678</v>
      </c>
      <c r="AW12" s="108">
        <f t="shared" si="7"/>
        <v>43709</v>
      </c>
      <c r="AX12" s="108">
        <f t="shared" si="7"/>
        <v>43739</v>
      </c>
      <c r="AY12" s="218">
        <f t="shared" si="7"/>
        <v>43770</v>
      </c>
      <c r="AZ12" s="108">
        <f t="shared" si="7"/>
        <v>43800</v>
      </c>
      <c r="BA12" s="108">
        <f t="shared" si="7"/>
        <v>43831</v>
      </c>
      <c r="BB12" s="108">
        <f t="shared" si="7"/>
        <v>43862</v>
      </c>
      <c r="BC12" s="108">
        <f t="shared" si="7"/>
        <v>43891</v>
      </c>
      <c r="BD12" s="108">
        <f t="shared" si="7"/>
        <v>43922</v>
      </c>
      <c r="BE12" s="108">
        <f t="shared" si="7"/>
        <v>43952</v>
      </c>
      <c r="BF12" s="108">
        <f t="shared" si="7"/>
        <v>43983</v>
      </c>
      <c r="BG12" s="108">
        <f t="shared" si="7"/>
        <v>44013</v>
      </c>
      <c r="BH12" s="108">
        <f t="shared" si="7"/>
        <v>44044</v>
      </c>
      <c r="BI12" s="108">
        <f t="shared" si="7"/>
        <v>44075</v>
      </c>
      <c r="BJ12" s="108">
        <f t="shared" si="7"/>
        <v>44105</v>
      </c>
      <c r="BK12" s="108">
        <f t="shared" si="7"/>
        <v>44136</v>
      </c>
      <c r="BL12" s="108">
        <f t="shared" si="7"/>
        <v>44166</v>
      </c>
      <c r="BM12" s="108">
        <f t="shared" si="7"/>
        <v>44197</v>
      </c>
      <c r="BN12" s="108">
        <f t="shared" si="7"/>
        <v>44228</v>
      </c>
      <c r="BO12" s="108">
        <f t="shared" si="7"/>
        <v>44256</v>
      </c>
      <c r="BP12" s="108">
        <f t="shared" si="7"/>
        <v>44287</v>
      </c>
      <c r="BQ12" s="108">
        <f t="shared" si="7"/>
        <v>44317</v>
      </c>
      <c r="BR12" s="108">
        <f t="shared" si="7"/>
        <v>44348</v>
      </c>
      <c r="BS12" s="108">
        <f t="shared" si="7"/>
        <v>44378</v>
      </c>
      <c r="BT12" s="108">
        <f t="shared" si="7"/>
        <v>44409</v>
      </c>
      <c r="BU12" s="108">
        <f t="shared" si="7"/>
        <v>44440</v>
      </c>
      <c r="BV12" s="108">
        <f t="shared" si="7"/>
        <v>44470</v>
      </c>
      <c r="BW12" s="108">
        <f t="shared" si="7"/>
        <v>44501</v>
      </c>
      <c r="BX12" s="108">
        <f t="shared" si="7"/>
        <v>44531</v>
      </c>
    </row>
    <row r="13" spans="2:76" x14ac:dyDescent="0.3">
      <c r="B13" s="277" t="s">
        <v>1595</v>
      </c>
      <c r="C13" s="278" t="s">
        <v>1559</v>
      </c>
      <c r="D13" s="145" t="s">
        <v>1596</v>
      </c>
      <c r="E13" s="146">
        <v>234.09</v>
      </c>
      <c r="F13" s="146">
        <v>236.49</v>
      </c>
      <c r="G13" s="146">
        <v>238.77</v>
      </c>
      <c r="H13" s="146">
        <v>241.44</v>
      </c>
      <c r="I13" s="146">
        <v>243.92</v>
      </c>
      <c r="J13" s="146">
        <v>244.28</v>
      </c>
      <c r="K13" s="146">
        <v>247.03</v>
      </c>
      <c r="L13" s="146">
        <v>249.7</v>
      </c>
      <c r="M13" s="146"/>
      <c r="N13" s="146"/>
      <c r="O13" s="146"/>
      <c r="P13" s="230"/>
      <c r="Q13" s="22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221"/>
      <c r="AC13" s="22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219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</row>
    <row r="14" spans="2:76" x14ac:dyDescent="0.3">
      <c r="B14" s="277"/>
      <c r="C14" s="278"/>
      <c r="D14" s="145" t="s">
        <v>1597</v>
      </c>
      <c r="E14" s="146">
        <v>236.49</v>
      </c>
      <c r="F14" s="146">
        <v>238.77</v>
      </c>
      <c r="G14" s="146">
        <v>241.44</v>
      </c>
      <c r="H14" s="146">
        <v>243.92</v>
      </c>
      <c r="I14" s="146">
        <v>244.28</v>
      </c>
      <c r="J14" s="146">
        <v>247.03</v>
      </c>
      <c r="K14" s="146">
        <v>249.7</v>
      </c>
      <c r="L14" s="146">
        <v>369.21</v>
      </c>
      <c r="M14" s="146"/>
      <c r="N14" s="146"/>
      <c r="O14" s="146"/>
      <c r="P14" s="230"/>
      <c r="Q14" s="22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221"/>
      <c r="AC14" s="226"/>
      <c r="AD14" s="146"/>
      <c r="AE14" s="146"/>
      <c r="AF14" s="255"/>
      <c r="AG14" s="146"/>
      <c r="AH14" s="146"/>
      <c r="AI14" s="146"/>
      <c r="AJ14" s="146"/>
      <c r="AK14" s="146"/>
      <c r="AL14" s="146"/>
      <c r="AM14" s="146"/>
      <c r="AN14" s="23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219"/>
      <c r="AZ14" s="111"/>
      <c r="BA14" s="111"/>
      <c r="BB14" s="219"/>
      <c r="BC14" s="146"/>
      <c r="BD14" s="146"/>
      <c r="BE14" s="146"/>
      <c r="BF14" s="146"/>
      <c r="BG14" s="146"/>
      <c r="BH14" s="146"/>
      <c r="BI14" s="146"/>
      <c r="BJ14" s="146"/>
      <c r="BK14" s="146"/>
      <c r="BL14" s="111"/>
      <c r="BM14" s="111"/>
      <c r="BN14" s="111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</row>
    <row r="15" spans="2:76" x14ac:dyDescent="0.3">
      <c r="B15" s="277"/>
      <c r="C15" s="278" t="s">
        <v>1557</v>
      </c>
      <c r="D15" s="145" t="s">
        <v>1596</v>
      </c>
      <c r="E15" s="146">
        <v>195297.26</v>
      </c>
      <c r="F15" s="146">
        <v>146545.79</v>
      </c>
      <c r="G15" s="146">
        <v>402287.18</v>
      </c>
      <c r="H15" s="146">
        <v>137988.25</v>
      </c>
      <c r="I15" s="146">
        <v>57001.83</v>
      </c>
      <c r="J15" s="146">
        <v>22851.52</v>
      </c>
      <c r="K15" s="146">
        <v>387188.24</v>
      </c>
      <c r="L15" s="146">
        <v>271128.51</v>
      </c>
      <c r="M15" s="146"/>
      <c r="N15" s="146"/>
      <c r="O15" s="146"/>
      <c r="P15" s="230"/>
      <c r="Q15" s="22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221"/>
      <c r="AC15" s="22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221"/>
      <c r="AZ15" s="146"/>
      <c r="BA15" s="146"/>
      <c r="BB15" s="221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221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</row>
    <row r="16" spans="2:76" x14ac:dyDescent="0.3">
      <c r="B16" s="277"/>
      <c r="C16" s="278"/>
      <c r="D16" s="145" t="s">
        <v>1597</v>
      </c>
      <c r="E16" s="146">
        <v>146545.79</v>
      </c>
      <c r="F16" s="146">
        <v>402287.18</v>
      </c>
      <c r="G16" s="146">
        <v>137988.25</v>
      </c>
      <c r="H16" s="146">
        <v>57001.83</v>
      </c>
      <c r="I16" s="146">
        <v>22851.52</v>
      </c>
      <c r="J16" s="146">
        <v>387188.24</v>
      </c>
      <c r="K16" s="146">
        <v>271128.51</v>
      </c>
      <c r="L16" s="146">
        <v>141854.98000000001</v>
      </c>
      <c r="M16" s="146"/>
      <c r="N16" s="146"/>
      <c r="O16" s="146"/>
      <c r="P16" s="230"/>
      <c r="Q16" s="22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221"/>
      <c r="AC16" s="226"/>
      <c r="AD16" s="146"/>
      <c r="AE16" s="146"/>
      <c r="AF16" s="255"/>
      <c r="AG16" s="146"/>
      <c r="AH16" s="146"/>
      <c r="AI16" s="146"/>
      <c r="AJ16" s="146"/>
      <c r="AK16" s="146"/>
      <c r="AL16" s="146"/>
      <c r="AM16" s="146"/>
      <c r="AN16" s="23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219"/>
      <c r="AZ16" s="111"/>
      <c r="BA16" s="111"/>
      <c r="BB16" s="219"/>
      <c r="BC16" s="146"/>
      <c r="BD16" s="146"/>
      <c r="BE16" s="146"/>
      <c r="BF16" s="146"/>
      <c r="BG16" s="146"/>
      <c r="BH16" s="146"/>
      <c r="BI16" s="146"/>
      <c r="BJ16" s="146"/>
      <c r="BK16" s="146"/>
      <c r="BL16" s="111"/>
      <c r="BM16" s="111"/>
      <c r="BN16" s="219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</row>
    <row r="17" spans="2:76" x14ac:dyDescent="0.3">
      <c r="B17" s="277"/>
      <c r="C17" s="278" t="s">
        <v>1560</v>
      </c>
      <c r="D17" s="145" t="s">
        <v>1596</v>
      </c>
      <c r="E17" s="146">
        <v>952.8</v>
      </c>
      <c r="F17" s="146">
        <v>962.56</v>
      </c>
      <c r="G17" s="146">
        <v>920.79</v>
      </c>
      <c r="H17" s="146">
        <v>875.63</v>
      </c>
      <c r="I17" s="146">
        <v>884.62</v>
      </c>
      <c r="J17" s="146">
        <v>835.08</v>
      </c>
      <c r="K17" s="146">
        <v>844.49</v>
      </c>
      <c r="L17" s="146">
        <v>853.6</v>
      </c>
      <c r="M17" s="146"/>
      <c r="N17" s="146"/>
      <c r="O17" s="146"/>
      <c r="P17" s="230"/>
      <c r="Q17" s="22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221"/>
      <c r="AC17" s="22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233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221"/>
      <c r="AZ17" s="146"/>
      <c r="BA17" s="146"/>
      <c r="BB17" s="221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221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</row>
    <row r="18" spans="2:76" x14ac:dyDescent="0.3">
      <c r="B18" s="277"/>
      <c r="C18" s="278"/>
      <c r="D18" s="145" t="s">
        <v>1597</v>
      </c>
      <c r="E18" s="146">
        <v>962.56</v>
      </c>
      <c r="F18" s="146">
        <v>920.79</v>
      </c>
      <c r="G18" s="146">
        <v>875.63</v>
      </c>
      <c r="H18" s="146">
        <v>884.62</v>
      </c>
      <c r="I18" s="146">
        <v>835.08</v>
      </c>
      <c r="J18" s="146">
        <v>844.49</v>
      </c>
      <c r="K18" s="146">
        <v>853.6</v>
      </c>
      <c r="L18" s="146">
        <v>863.65</v>
      </c>
      <c r="M18" s="146"/>
      <c r="N18" s="146"/>
      <c r="O18" s="146"/>
      <c r="P18" s="230"/>
      <c r="Q18" s="22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221"/>
      <c r="AC18" s="226"/>
      <c r="AD18" s="146"/>
      <c r="AE18" s="146"/>
      <c r="AF18" s="255"/>
      <c r="AG18" s="146"/>
      <c r="AH18" s="146"/>
      <c r="AI18" s="146"/>
      <c r="AJ18" s="146"/>
      <c r="AK18" s="146"/>
      <c r="AL18" s="146"/>
      <c r="AM18" s="146"/>
      <c r="AN18" s="23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219"/>
      <c r="AZ18" s="111"/>
      <c r="BA18" s="111"/>
      <c r="BB18" s="219"/>
      <c r="BC18" s="146"/>
      <c r="BD18" s="146"/>
      <c r="BE18" s="146"/>
      <c r="BF18" s="146"/>
      <c r="BG18" s="146"/>
      <c r="BH18" s="146"/>
      <c r="BI18" s="146"/>
      <c r="BJ18" s="146"/>
      <c r="BK18" s="146"/>
      <c r="BL18" s="111"/>
      <c r="BM18" s="111"/>
      <c r="BN18" s="219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</row>
    <row r="19" spans="2:76" x14ac:dyDescent="0.3">
      <c r="B19" s="147"/>
      <c r="C19" s="143" t="s">
        <v>1599</v>
      </c>
      <c r="D19" s="107"/>
      <c r="E19" s="235">
        <f>SUM(E13,E15,E17)</f>
        <v>196484.15</v>
      </c>
      <c r="F19" s="235">
        <f t="shared" ref="F19:AN20" si="8">SUM(F13,F15,F17)</f>
        <v>147744.84</v>
      </c>
      <c r="G19" s="235">
        <f t="shared" si="8"/>
        <v>403446.74</v>
      </c>
      <c r="H19" s="235">
        <f t="shared" si="8"/>
        <v>139105.32</v>
      </c>
      <c r="I19" s="235">
        <f t="shared" si="8"/>
        <v>58130.37</v>
      </c>
      <c r="J19" s="235">
        <f t="shared" si="8"/>
        <v>23930.880000000001</v>
      </c>
      <c r="K19" s="235">
        <f t="shared" si="8"/>
        <v>388279.76</v>
      </c>
      <c r="L19" s="235">
        <f t="shared" si="8"/>
        <v>272231.81</v>
      </c>
      <c r="M19" s="235">
        <f t="shared" si="8"/>
        <v>0</v>
      </c>
      <c r="N19" s="235">
        <f t="shared" si="8"/>
        <v>0</v>
      </c>
      <c r="O19" s="235">
        <f t="shared" si="8"/>
        <v>0</v>
      </c>
      <c r="P19" s="236">
        <f t="shared" si="8"/>
        <v>0</v>
      </c>
      <c r="Q19" s="237">
        <f t="shared" si="8"/>
        <v>0</v>
      </c>
      <c r="R19" s="235">
        <f t="shared" si="8"/>
        <v>0</v>
      </c>
      <c r="S19" s="235">
        <f t="shared" si="8"/>
        <v>0</v>
      </c>
      <c r="T19" s="235">
        <f t="shared" si="8"/>
        <v>0</v>
      </c>
      <c r="U19" s="235">
        <f t="shared" si="8"/>
        <v>0</v>
      </c>
      <c r="V19" s="235">
        <f t="shared" si="8"/>
        <v>0</v>
      </c>
      <c r="W19" s="235">
        <f t="shared" si="8"/>
        <v>0</v>
      </c>
      <c r="X19" s="235">
        <f t="shared" si="8"/>
        <v>0</v>
      </c>
      <c r="Y19" s="235">
        <f t="shared" si="8"/>
        <v>0</v>
      </c>
      <c r="Z19" s="235">
        <f t="shared" si="8"/>
        <v>0</v>
      </c>
      <c r="AA19" s="235">
        <f t="shared" si="8"/>
        <v>0</v>
      </c>
      <c r="AB19" s="238">
        <f t="shared" si="8"/>
        <v>0</v>
      </c>
      <c r="AC19" s="237">
        <f t="shared" si="8"/>
        <v>0</v>
      </c>
      <c r="AD19" s="235">
        <f t="shared" si="8"/>
        <v>0</v>
      </c>
      <c r="AE19" s="235">
        <f t="shared" si="8"/>
        <v>0</v>
      </c>
      <c r="AF19" s="235">
        <f t="shared" si="8"/>
        <v>0</v>
      </c>
      <c r="AG19" s="235">
        <f t="shared" si="8"/>
        <v>0</v>
      </c>
      <c r="AH19" s="235">
        <f t="shared" si="8"/>
        <v>0</v>
      </c>
      <c r="AI19" s="235">
        <f t="shared" si="8"/>
        <v>0</v>
      </c>
      <c r="AJ19" s="235">
        <f t="shared" si="8"/>
        <v>0</v>
      </c>
      <c r="AK19" s="235">
        <f t="shared" si="8"/>
        <v>0</v>
      </c>
      <c r="AL19" s="235">
        <f t="shared" si="8"/>
        <v>0</v>
      </c>
      <c r="AM19" s="235">
        <f t="shared" si="8"/>
        <v>0</v>
      </c>
      <c r="AN19" s="239">
        <f t="shared" si="8"/>
        <v>0</v>
      </c>
      <c r="AO19" s="235">
        <f t="shared" ref="AO19:BX19" si="9">SUM(AO13,AO15,AO17)</f>
        <v>0</v>
      </c>
      <c r="AP19" s="235">
        <f t="shared" si="9"/>
        <v>0</v>
      </c>
      <c r="AQ19" s="235">
        <f t="shared" si="9"/>
        <v>0</v>
      </c>
      <c r="AR19" s="235">
        <f t="shared" si="9"/>
        <v>0</v>
      </c>
      <c r="AS19" s="235">
        <f t="shared" si="9"/>
        <v>0</v>
      </c>
      <c r="AT19" s="235">
        <f t="shared" si="9"/>
        <v>0</v>
      </c>
      <c r="AU19" s="235">
        <f t="shared" si="9"/>
        <v>0</v>
      </c>
      <c r="AV19" s="235">
        <f t="shared" si="9"/>
        <v>0</v>
      </c>
      <c r="AW19" s="235">
        <f t="shared" si="9"/>
        <v>0</v>
      </c>
      <c r="AX19" s="235">
        <f t="shared" si="9"/>
        <v>0</v>
      </c>
      <c r="AY19" s="238">
        <f t="shared" si="9"/>
        <v>0</v>
      </c>
      <c r="AZ19" s="235">
        <f t="shared" si="9"/>
        <v>0</v>
      </c>
      <c r="BA19" s="235">
        <f t="shared" si="9"/>
        <v>0</v>
      </c>
      <c r="BB19" s="238">
        <f t="shared" si="9"/>
        <v>0</v>
      </c>
      <c r="BC19" s="235">
        <f t="shared" si="9"/>
        <v>0</v>
      </c>
      <c r="BD19" s="235">
        <f t="shared" si="9"/>
        <v>0</v>
      </c>
      <c r="BE19" s="235">
        <f t="shared" si="9"/>
        <v>0</v>
      </c>
      <c r="BF19" s="235">
        <f t="shared" si="9"/>
        <v>0</v>
      </c>
      <c r="BG19" s="235">
        <f t="shared" si="9"/>
        <v>0</v>
      </c>
      <c r="BH19" s="235">
        <f t="shared" si="9"/>
        <v>0</v>
      </c>
      <c r="BI19" s="235">
        <f t="shared" si="9"/>
        <v>0</v>
      </c>
      <c r="BJ19" s="235">
        <f t="shared" si="9"/>
        <v>0</v>
      </c>
      <c r="BK19" s="235">
        <f t="shared" si="9"/>
        <v>0</v>
      </c>
      <c r="BL19" s="235">
        <f t="shared" si="9"/>
        <v>0</v>
      </c>
      <c r="BM19" s="235">
        <f t="shared" si="9"/>
        <v>0</v>
      </c>
      <c r="BN19" s="238">
        <f t="shared" si="9"/>
        <v>0</v>
      </c>
      <c r="BO19" s="235">
        <f t="shared" si="9"/>
        <v>0</v>
      </c>
      <c r="BP19" s="235">
        <f t="shared" si="9"/>
        <v>0</v>
      </c>
      <c r="BQ19" s="235">
        <f t="shared" si="9"/>
        <v>0</v>
      </c>
      <c r="BR19" s="235">
        <f t="shared" si="9"/>
        <v>0</v>
      </c>
      <c r="BS19" s="235">
        <f t="shared" si="9"/>
        <v>0</v>
      </c>
      <c r="BT19" s="235">
        <f t="shared" si="9"/>
        <v>0</v>
      </c>
      <c r="BU19" s="235">
        <f t="shared" si="9"/>
        <v>0</v>
      </c>
      <c r="BV19" s="235">
        <f t="shared" si="9"/>
        <v>0</v>
      </c>
      <c r="BW19" s="235">
        <f t="shared" si="9"/>
        <v>0</v>
      </c>
      <c r="BX19" s="235">
        <f t="shared" si="9"/>
        <v>0</v>
      </c>
    </row>
    <row r="20" spans="2:76" x14ac:dyDescent="0.3">
      <c r="B20" s="147"/>
      <c r="C20" s="143" t="s">
        <v>1600</v>
      </c>
      <c r="D20" s="107"/>
      <c r="E20" s="235">
        <f>SUM(E14,E16,E18)</f>
        <v>147744.84</v>
      </c>
      <c r="F20" s="235">
        <f t="shared" si="8"/>
        <v>403446.74</v>
      </c>
      <c r="G20" s="235">
        <f t="shared" si="8"/>
        <v>139105.32</v>
      </c>
      <c r="H20" s="235">
        <f t="shared" si="8"/>
        <v>58130.37</v>
      </c>
      <c r="I20" s="235">
        <f t="shared" si="8"/>
        <v>23930.880000000001</v>
      </c>
      <c r="J20" s="235">
        <f t="shared" si="8"/>
        <v>388279.76</v>
      </c>
      <c r="K20" s="235">
        <f t="shared" si="8"/>
        <v>272231.81</v>
      </c>
      <c r="L20" s="235">
        <f t="shared" si="8"/>
        <v>143087.84</v>
      </c>
      <c r="M20" s="235">
        <f t="shared" si="8"/>
        <v>0</v>
      </c>
      <c r="N20" s="235">
        <f t="shared" si="8"/>
        <v>0</v>
      </c>
      <c r="O20" s="235">
        <f t="shared" si="8"/>
        <v>0</v>
      </c>
      <c r="P20" s="236">
        <f t="shared" si="8"/>
        <v>0</v>
      </c>
      <c r="Q20" s="237">
        <f t="shared" si="8"/>
        <v>0</v>
      </c>
      <c r="R20" s="235">
        <f t="shared" si="8"/>
        <v>0</v>
      </c>
      <c r="S20" s="235">
        <f t="shared" si="8"/>
        <v>0</v>
      </c>
      <c r="T20" s="235">
        <f t="shared" si="8"/>
        <v>0</v>
      </c>
      <c r="U20" s="235">
        <f t="shared" si="8"/>
        <v>0</v>
      </c>
      <c r="V20" s="235">
        <f t="shared" si="8"/>
        <v>0</v>
      </c>
      <c r="W20" s="235">
        <f t="shared" si="8"/>
        <v>0</v>
      </c>
      <c r="X20" s="235">
        <f t="shared" si="8"/>
        <v>0</v>
      </c>
      <c r="Y20" s="235">
        <f t="shared" si="8"/>
        <v>0</v>
      </c>
      <c r="Z20" s="235">
        <f t="shared" si="8"/>
        <v>0</v>
      </c>
      <c r="AA20" s="235">
        <f t="shared" si="8"/>
        <v>0</v>
      </c>
      <c r="AB20" s="238">
        <f t="shared" si="8"/>
        <v>0</v>
      </c>
      <c r="AC20" s="237">
        <f t="shared" si="8"/>
        <v>0</v>
      </c>
      <c r="AD20" s="235">
        <f t="shared" si="8"/>
        <v>0</v>
      </c>
      <c r="AE20" s="235">
        <f t="shared" si="8"/>
        <v>0</v>
      </c>
      <c r="AF20" s="256">
        <f t="shared" si="8"/>
        <v>0</v>
      </c>
      <c r="AG20" s="235">
        <f t="shared" si="8"/>
        <v>0</v>
      </c>
      <c r="AH20" s="235">
        <f t="shared" si="8"/>
        <v>0</v>
      </c>
      <c r="AI20" s="235">
        <f t="shared" si="8"/>
        <v>0</v>
      </c>
      <c r="AJ20" s="235">
        <f t="shared" si="8"/>
        <v>0</v>
      </c>
      <c r="AK20" s="235">
        <f t="shared" si="8"/>
        <v>0</v>
      </c>
      <c r="AL20" s="235">
        <f t="shared" si="8"/>
        <v>0</v>
      </c>
      <c r="AM20" s="235">
        <f t="shared" si="8"/>
        <v>0</v>
      </c>
      <c r="AN20" s="239">
        <f t="shared" si="8"/>
        <v>0</v>
      </c>
      <c r="AO20" s="235">
        <f t="shared" ref="AO20:BX20" si="10">SUM(AO14,AO16,AO18)</f>
        <v>0</v>
      </c>
      <c r="AP20" s="235">
        <f t="shared" si="10"/>
        <v>0</v>
      </c>
      <c r="AQ20" s="235">
        <f t="shared" si="10"/>
        <v>0</v>
      </c>
      <c r="AR20" s="235">
        <f t="shared" si="10"/>
        <v>0</v>
      </c>
      <c r="AS20" s="235">
        <f t="shared" si="10"/>
        <v>0</v>
      </c>
      <c r="AT20" s="235">
        <f t="shared" si="10"/>
        <v>0</v>
      </c>
      <c r="AU20" s="235">
        <f t="shared" si="10"/>
        <v>0</v>
      </c>
      <c r="AV20" s="235">
        <f t="shared" si="10"/>
        <v>0</v>
      </c>
      <c r="AW20" s="235">
        <f t="shared" si="10"/>
        <v>0</v>
      </c>
      <c r="AX20" s="235">
        <f t="shared" si="10"/>
        <v>0</v>
      </c>
      <c r="AY20" s="238">
        <f t="shared" si="10"/>
        <v>0</v>
      </c>
      <c r="AZ20" s="235">
        <f t="shared" si="10"/>
        <v>0</v>
      </c>
      <c r="BA20" s="235">
        <f t="shared" si="10"/>
        <v>0</v>
      </c>
      <c r="BB20" s="238">
        <f t="shared" si="10"/>
        <v>0</v>
      </c>
      <c r="BC20" s="235">
        <f t="shared" si="10"/>
        <v>0</v>
      </c>
      <c r="BD20" s="235">
        <f t="shared" si="10"/>
        <v>0</v>
      </c>
      <c r="BE20" s="235">
        <f t="shared" si="10"/>
        <v>0</v>
      </c>
      <c r="BF20" s="235">
        <f t="shared" si="10"/>
        <v>0</v>
      </c>
      <c r="BG20" s="235">
        <f t="shared" si="10"/>
        <v>0</v>
      </c>
      <c r="BH20" s="235">
        <f t="shared" si="10"/>
        <v>0</v>
      </c>
      <c r="BI20" s="235">
        <f t="shared" si="10"/>
        <v>0</v>
      </c>
      <c r="BJ20" s="235">
        <f t="shared" si="10"/>
        <v>0</v>
      </c>
      <c r="BK20" s="235">
        <f t="shared" si="10"/>
        <v>0</v>
      </c>
      <c r="BL20" s="235">
        <f t="shared" si="10"/>
        <v>0</v>
      </c>
      <c r="BM20" s="235">
        <f t="shared" si="10"/>
        <v>0</v>
      </c>
      <c r="BN20" s="238">
        <f t="shared" si="10"/>
        <v>0</v>
      </c>
      <c r="BO20" s="235">
        <f t="shared" si="10"/>
        <v>0</v>
      </c>
      <c r="BP20" s="235">
        <f t="shared" si="10"/>
        <v>0</v>
      </c>
      <c r="BQ20" s="235">
        <f t="shared" si="10"/>
        <v>0</v>
      </c>
      <c r="BR20" s="235">
        <f t="shared" si="10"/>
        <v>0</v>
      </c>
      <c r="BS20" s="235">
        <f t="shared" si="10"/>
        <v>0</v>
      </c>
      <c r="BT20" s="235">
        <f t="shared" si="10"/>
        <v>0</v>
      </c>
      <c r="BU20" s="235">
        <f t="shared" si="10"/>
        <v>0</v>
      </c>
      <c r="BV20" s="235">
        <f t="shared" si="10"/>
        <v>0</v>
      </c>
      <c r="BW20" s="235">
        <f t="shared" si="10"/>
        <v>0</v>
      </c>
      <c r="BX20" s="235">
        <f t="shared" si="10"/>
        <v>0</v>
      </c>
    </row>
    <row r="22" spans="2:76" x14ac:dyDescent="0.3">
      <c r="BA22" s="112">
        <f>BA9+BA19</f>
        <v>0</v>
      </c>
      <c r="BB22" s="112">
        <f t="shared" ref="BB22:BO22" si="11">BB9+BB19</f>
        <v>0</v>
      </c>
      <c r="BC22" s="112">
        <f t="shared" si="11"/>
        <v>0</v>
      </c>
      <c r="BD22" s="112">
        <f t="shared" si="11"/>
        <v>0</v>
      </c>
      <c r="BE22" s="112">
        <f t="shared" si="11"/>
        <v>0</v>
      </c>
      <c r="BF22" s="112">
        <f t="shared" si="11"/>
        <v>0</v>
      </c>
      <c r="BG22" s="112">
        <f t="shared" si="11"/>
        <v>0</v>
      </c>
      <c r="BH22" s="112">
        <f t="shared" si="11"/>
        <v>0</v>
      </c>
      <c r="BI22" s="112">
        <f t="shared" si="11"/>
        <v>0</v>
      </c>
      <c r="BJ22" s="240">
        <f t="shared" si="11"/>
        <v>0</v>
      </c>
      <c r="BK22" s="112">
        <f t="shared" si="11"/>
        <v>0</v>
      </c>
      <c r="BL22" s="112">
        <f t="shared" si="11"/>
        <v>0</v>
      </c>
      <c r="BM22" s="112">
        <f t="shared" si="11"/>
        <v>0</v>
      </c>
      <c r="BN22" s="112">
        <f t="shared" si="11"/>
        <v>0</v>
      </c>
      <c r="BO22" s="112">
        <f t="shared" si="11"/>
        <v>0</v>
      </c>
    </row>
    <row r="23" spans="2:76" x14ac:dyDescent="0.3">
      <c r="BJ23" s="240" t="s">
        <v>1604</v>
      </c>
    </row>
    <row r="24" spans="2:76" x14ac:dyDescent="0.3">
      <c r="BJ24" s="240">
        <v>500000</v>
      </c>
    </row>
    <row r="25" spans="2:76" x14ac:dyDescent="0.3">
      <c r="BJ25" s="112">
        <v>8319995.3799999999</v>
      </c>
      <c r="BK25" s="112">
        <v>8293324.0199999996</v>
      </c>
      <c r="BL25" s="112">
        <v>8572260.8499999996</v>
      </c>
    </row>
  </sheetData>
  <mergeCells count="8">
    <mergeCell ref="B3:B8"/>
    <mergeCell ref="C3:C4"/>
    <mergeCell ref="C5:C6"/>
    <mergeCell ref="C7:C8"/>
    <mergeCell ref="B13:B18"/>
    <mergeCell ref="C13:C14"/>
    <mergeCell ref="C15:C16"/>
    <mergeCell ref="C17:C18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2191"/>
  <sheetViews>
    <sheetView showGridLines="0" zoomScale="85" zoomScaleNormal="85" workbookViewId="0">
      <pane ySplit="3" topLeftCell="A2167" activePane="bottomLeft" state="frozen"/>
      <selection pane="bottomLeft" activeCell="B3" sqref="B3:J2191"/>
    </sheetView>
  </sheetViews>
  <sheetFormatPr defaultColWidth="9.109375" defaultRowHeight="14.4" x14ac:dyDescent="0.3"/>
  <cols>
    <col min="1" max="1" width="2.88671875" style="82" customWidth="1"/>
    <col min="2" max="2" width="11.5546875" style="77" customWidth="1"/>
    <col min="3" max="3" width="8.44140625" style="77" customWidth="1"/>
    <col min="4" max="4" width="10.5546875" style="84" customWidth="1"/>
    <col min="5" max="5" width="13.6640625" style="78" customWidth="1"/>
    <col min="6" max="6" width="11.33203125" style="77" customWidth="1"/>
    <col min="7" max="7" width="9.33203125" style="77" customWidth="1"/>
    <col min="8" max="8" width="47.109375" style="79" customWidth="1"/>
    <col min="9" max="9" width="40.33203125" style="79" customWidth="1"/>
    <col min="10" max="10" width="20.33203125" style="76" customWidth="1"/>
    <col min="11" max="11" width="43.109375" style="50" bestFit="1" customWidth="1"/>
    <col min="12" max="16384" width="9.109375" style="50"/>
  </cols>
  <sheetData>
    <row r="1" spans="1:12" ht="15.6" thickBot="1" x14ac:dyDescent="0.4">
      <c r="B1" s="61"/>
      <c r="C1" s="62" t="s">
        <v>116</v>
      </c>
      <c r="D1" s="63"/>
      <c r="E1" s="64"/>
      <c r="F1" s="65"/>
      <c r="G1" s="65"/>
      <c r="H1" s="50"/>
      <c r="I1" s="49"/>
      <c r="J1" s="244">
        <v>8011423.0999999996</v>
      </c>
      <c r="K1" s="243">
        <v>15168628.049999999</v>
      </c>
    </row>
    <row r="2" spans="1:12" ht="24" customHeight="1" thickBot="1" x14ac:dyDescent="0.35">
      <c r="B2" s="66"/>
      <c r="C2" s="62" t="s">
        <v>1551</v>
      </c>
      <c r="D2" s="63"/>
      <c r="E2" s="64"/>
      <c r="F2" s="81"/>
      <c r="G2" s="67"/>
      <c r="H2" s="50"/>
      <c r="I2" s="51" t="s">
        <v>30</v>
      </c>
      <c r="J2" s="52">
        <f>SUBTOTAL(9,J4:J1048576)</f>
        <v>-174212.22265641182</v>
      </c>
      <c r="K2" s="243">
        <v>-16162987.110000007</v>
      </c>
    </row>
    <row r="3" spans="1:12" ht="31.5" customHeight="1" x14ac:dyDescent="0.3">
      <c r="B3" s="68" t="s">
        <v>117</v>
      </c>
      <c r="C3" s="68" t="s">
        <v>118</v>
      </c>
      <c r="D3" s="69" t="s">
        <v>1565</v>
      </c>
      <c r="E3" s="70" t="s">
        <v>1552</v>
      </c>
      <c r="F3" s="71" t="s">
        <v>1553</v>
      </c>
      <c r="G3" s="71" t="s">
        <v>1554</v>
      </c>
      <c r="H3" s="71" t="s">
        <v>1555</v>
      </c>
      <c r="I3" s="71" t="s">
        <v>1556</v>
      </c>
      <c r="J3" s="71" t="s">
        <v>119</v>
      </c>
      <c r="K3" s="80" t="s">
        <v>1564</v>
      </c>
      <c r="L3" s="113" t="s">
        <v>1598</v>
      </c>
    </row>
    <row r="4" spans="1:12" ht="15" customHeight="1" x14ac:dyDescent="0.3">
      <c r="A4" s="82" t="str">
        <f t="shared" ref="A4:A67" si="0">IF(K4="NÃO ENCONTRADO",0,RIGHT(D4,4))</f>
        <v>2016</v>
      </c>
      <c r="B4" s="72" t="s">
        <v>131</v>
      </c>
      <c r="C4" s="73" t="s">
        <v>132</v>
      </c>
      <c r="D4" s="74" t="str">
        <f t="shared" ref="D4:D67" si="1">TEXT(E4,"mmm/aaaa")</f>
        <v>jan/2016</v>
      </c>
      <c r="E4" s="53">
        <v>42373</v>
      </c>
      <c r="F4" s="75" t="s">
        <v>241</v>
      </c>
      <c r="G4" s="72"/>
      <c r="H4" s="49" t="s">
        <v>158</v>
      </c>
      <c r="I4" s="49" t="s">
        <v>159</v>
      </c>
      <c r="J4" s="76">
        <v>-105</v>
      </c>
      <c r="K4" s="83" t="str">
        <f>IFERROR(IFERROR(VLOOKUP(I4,'DE-PARA'!B:D,3,0),VLOOKUP(I4,'DE-PARA'!C:D,2,0)),"NÃO ENCONTRADO")</f>
        <v>Materiais</v>
      </c>
      <c r="L4" s="50" t="str">
        <f>VLOOKUP(K4,'Base -Receita-Despesa'!$B:$P,1,FALSE)</f>
        <v>Materiais</v>
      </c>
    </row>
    <row r="5" spans="1:12" ht="15" customHeight="1" x14ac:dyDescent="0.3">
      <c r="A5" s="82" t="str">
        <f t="shared" si="0"/>
        <v>2016</v>
      </c>
      <c r="B5" s="72" t="s">
        <v>131</v>
      </c>
      <c r="C5" s="73" t="s">
        <v>132</v>
      </c>
      <c r="D5" s="74" t="str">
        <f t="shared" si="1"/>
        <v>jan/2016</v>
      </c>
      <c r="E5" s="53">
        <v>42373</v>
      </c>
      <c r="F5" s="75" t="s">
        <v>241</v>
      </c>
      <c r="G5" s="72"/>
      <c r="H5" s="49" t="s">
        <v>242</v>
      </c>
      <c r="I5" s="49" t="s">
        <v>138</v>
      </c>
      <c r="J5" s="76">
        <v>-306.49</v>
      </c>
      <c r="K5" s="83" t="str">
        <f>IFERROR(IFERROR(VLOOKUP(I5,'DE-PARA'!B:D,3,0),VLOOKUP(I5,'DE-PARA'!C:D,2,0)),"NÃO ENCONTRADO")</f>
        <v>Serviços</v>
      </c>
      <c r="L5" s="50" t="str">
        <f>VLOOKUP(K5,'Base -Receita-Despesa'!$B:$P,1,FALSE)</f>
        <v>Serviços</v>
      </c>
    </row>
    <row r="6" spans="1:12" ht="15" customHeight="1" x14ac:dyDescent="0.3">
      <c r="A6" s="82" t="str">
        <f t="shared" si="0"/>
        <v>2016</v>
      </c>
      <c r="B6" s="72" t="s">
        <v>131</v>
      </c>
      <c r="C6" s="73" t="s">
        <v>132</v>
      </c>
      <c r="D6" s="74" t="str">
        <f t="shared" si="1"/>
        <v>jan/2016</v>
      </c>
      <c r="E6" s="53">
        <v>42373</v>
      </c>
      <c r="F6" s="75" t="s">
        <v>243</v>
      </c>
      <c r="G6" s="72"/>
      <c r="H6" s="49" t="s">
        <v>244</v>
      </c>
      <c r="I6" s="49" t="s">
        <v>124</v>
      </c>
      <c r="J6" s="76">
        <v>-2541.7199999999998</v>
      </c>
      <c r="K6" s="83" t="str">
        <f>IFERROR(IFERROR(VLOOKUP(I6,'DE-PARA'!B:D,3,0),VLOOKUP(I6,'DE-PARA'!C:D,2,0)),"NÃO ENCONTRADO")</f>
        <v>Rescisões Trabalhistas</v>
      </c>
      <c r="L6" s="50" t="str">
        <f>VLOOKUP(K6,'Base -Receita-Despesa'!$B:$P,1,FALSE)</f>
        <v>Rescisões Trabalhistas</v>
      </c>
    </row>
    <row r="7" spans="1:12" ht="15" customHeight="1" x14ac:dyDescent="0.3">
      <c r="A7" s="82" t="str">
        <f t="shared" si="0"/>
        <v>2016</v>
      </c>
      <c r="B7" s="72" t="s">
        <v>131</v>
      </c>
      <c r="C7" s="73" t="s">
        <v>132</v>
      </c>
      <c r="D7" s="74" t="str">
        <f t="shared" si="1"/>
        <v>jan/2016</v>
      </c>
      <c r="E7" s="53">
        <v>42373</v>
      </c>
      <c r="F7" s="75" t="s">
        <v>146</v>
      </c>
      <c r="G7" s="72"/>
      <c r="H7" s="49" t="s">
        <v>147</v>
      </c>
      <c r="I7" s="49" t="s">
        <v>148</v>
      </c>
      <c r="J7" s="76">
        <v>-2382.64</v>
      </c>
      <c r="K7" s="83" t="str">
        <f>IFERROR(IFERROR(VLOOKUP(I7,'DE-PARA'!B:D,3,0),VLOOKUP(I7,'DE-PARA'!C:D,2,0)),"NÃO ENCONTRADO")</f>
        <v>Concessionárias (água, luz e telefone)</v>
      </c>
      <c r="L7" s="50" t="str">
        <f>VLOOKUP(K7,'Base -Receita-Despesa'!$B:$P,1,FALSE)</f>
        <v>Concessionárias (água, luz e telefone)</v>
      </c>
    </row>
    <row r="8" spans="1:12" ht="15" customHeight="1" x14ac:dyDescent="0.3">
      <c r="A8" s="82" t="str">
        <f t="shared" si="0"/>
        <v>2016</v>
      </c>
      <c r="B8" s="72" t="s">
        <v>131</v>
      </c>
      <c r="C8" s="73" t="s">
        <v>132</v>
      </c>
      <c r="D8" s="74" t="str">
        <f t="shared" si="1"/>
        <v>jan/2016</v>
      </c>
      <c r="E8" s="53">
        <v>42374</v>
      </c>
      <c r="F8" s="75" t="s">
        <v>122</v>
      </c>
      <c r="G8" s="72"/>
      <c r="H8" s="49" t="s">
        <v>245</v>
      </c>
      <c r="I8" s="49" t="s">
        <v>124</v>
      </c>
      <c r="J8" s="76">
        <v>-57.68</v>
      </c>
      <c r="K8" s="83" t="str">
        <f>IFERROR(IFERROR(VLOOKUP(I8,'DE-PARA'!B:D,3,0),VLOOKUP(I8,'DE-PARA'!C:D,2,0)),"NÃO ENCONTRADO")</f>
        <v>Rescisões Trabalhistas</v>
      </c>
      <c r="L8" s="50" t="str">
        <f>VLOOKUP(K8,'Base -Receita-Despesa'!$B:$P,1,FALSE)</f>
        <v>Rescisões Trabalhistas</v>
      </c>
    </row>
    <row r="9" spans="1:12" ht="15" customHeight="1" x14ac:dyDescent="0.3">
      <c r="A9" s="82" t="str">
        <f t="shared" si="0"/>
        <v>2016</v>
      </c>
      <c r="B9" s="72" t="s">
        <v>131</v>
      </c>
      <c r="C9" s="73" t="s">
        <v>132</v>
      </c>
      <c r="D9" s="74" t="str">
        <f t="shared" si="1"/>
        <v>jan/2016</v>
      </c>
      <c r="E9" s="53">
        <v>42374</v>
      </c>
      <c r="F9" s="75" t="s">
        <v>243</v>
      </c>
      <c r="G9" s="72"/>
      <c r="H9" s="49" t="s">
        <v>245</v>
      </c>
      <c r="I9" s="49" t="s">
        <v>124</v>
      </c>
      <c r="J9" s="76">
        <v>-388.51</v>
      </c>
      <c r="K9" s="83" t="str">
        <f>IFERROR(IFERROR(VLOOKUP(I9,'DE-PARA'!B:D,3,0),VLOOKUP(I9,'DE-PARA'!C:D,2,0)),"NÃO ENCONTRADO")</f>
        <v>Rescisões Trabalhistas</v>
      </c>
      <c r="L9" s="50" t="str">
        <f>VLOOKUP(K9,'Base -Receita-Despesa'!$B:$P,1,FALSE)</f>
        <v>Rescisões Trabalhistas</v>
      </c>
    </row>
    <row r="10" spans="1:12" ht="15" customHeight="1" x14ac:dyDescent="0.3">
      <c r="A10" s="82" t="str">
        <f t="shared" si="0"/>
        <v>2016</v>
      </c>
      <c r="B10" s="72" t="s">
        <v>131</v>
      </c>
      <c r="C10" s="73" t="s">
        <v>132</v>
      </c>
      <c r="D10" s="74" t="str">
        <f t="shared" si="1"/>
        <v>jan/2016</v>
      </c>
      <c r="E10" s="53">
        <v>42374</v>
      </c>
      <c r="F10" s="75" t="s">
        <v>241</v>
      </c>
      <c r="G10" s="72"/>
      <c r="H10" s="49" t="s">
        <v>246</v>
      </c>
      <c r="I10" s="49" t="s">
        <v>138</v>
      </c>
      <c r="J10" s="76">
        <v>-396.38</v>
      </c>
      <c r="K10" s="83" t="str">
        <f>IFERROR(IFERROR(VLOOKUP(I10,'DE-PARA'!B:D,3,0),VLOOKUP(I10,'DE-PARA'!C:D,2,0)),"NÃO ENCONTRADO")</f>
        <v>Serviços</v>
      </c>
      <c r="L10" s="50" t="str">
        <f>VLOOKUP(K10,'Base -Receita-Despesa'!$B:$P,1,FALSE)</f>
        <v>Serviços</v>
      </c>
    </row>
    <row r="11" spans="1:12" ht="15" customHeight="1" x14ac:dyDescent="0.3">
      <c r="A11" s="82" t="str">
        <f t="shared" si="0"/>
        <v>2016</v>
      </c>
      <c r="B11" s="72" t="s">
        <v>131</v>
      </c>
      <c r="C11" s="73" t="s">
        <v>132</v>
      </c>
      <c r="D11" s="74" t="str">
        <f t="shared" si="1"/>
        <v>jan/2016</v>
      </c>
      <c r="E11" s="53">
        <v>42375</v>
      </c>
      <c r="F11" s="75" t="s">
        <v>241</v>
      </c>
      <c r="G11" s="72"/>
      <c r="H11" s="49" t="s">
        <v>141</v>
      </c>
      <c r="I11" s="49" t="s">
        <v>111</v>
      </c>
      <c r="J11" s="76">
        <v>-1781</v>
      </c>
      <c r="K11" s="83" t="str">
        <f>IFERROR(IFERROR(VLOOKUP(I11,'DE-PARA'!B:D,3,0),VLOOKUP(I11,'DE-PARA'!C:D,2,0)),"NÃO ENCONTRADO")</f>
        <v>Serviços</v>
      </c>
      <c r="L11" s="50" t="str">
        <f>VLOOKUP(K11,'Base -Receita-Despesa'!$B:$P,1,FALSE)</f>
        <v>Serviços</v>
      </c>
    </row>
    <row r="12" spans="1:12" ht="15" customHeight="1" x14ac:dyDescent="0.3">
      <c r="A12" s="82" t="str">
        <f t="shared" si="0"/>
        <v>2016</v>
      </c>
      <c r="B12" s="72" t="s">
        <v>131</v>
      </c>
      <c r="C12" s="73" t="s">
        <v>132</v>
      </c>
      <c r="D12" s="74" t="str">
        <f t="shared" si="1"/>
        <v>jan/2016</v>
      </c>
      <c r="E12" s="53">
        <v>42375</v>
      </c>
      <c r="F12" s="75" t="s">
        <v>241</v>
      </c>
      <c r="G12" s="72"/>
      <c r="H12" s="49" t="s">
        <v>141</v>
      </c>
      <c r="I12" s="49" t="s">
        <v>111</v>
      </c>
      <c r="J12" s="76">
        <v>-9398.1</v>
      </c>
      <c r="K12" s="83" t="str">
        <f>IFERROR(IFERROR(VLOOKUP(I12,'DE-PARA'!B:D,3,0),VLOOKUP(I12,'DE-PARA'!C:D,2,0)),"NÃO ENCONTRADO")</f>
        <v>Serviços</v>
      </c>
      <c r="L12" s="50" t="str">
        <f>VLOOKUP(K12,'Base -Receita-Despesa'!$B:$P,1,FALSE)</f>
        <v>Serviços</v>
      </c>
    </row>
    <row r="13" spans="1:12" ht="15" customHeight="1" x14ac:dyDescent="0.3">
      <c r="A13" s="82" t="str">
        <f t="shared" si="0"/>
        <v>2016</v>
      </c>
      <c r="B13" s="72" t="s">
        <v>131</v>
      </c>
      <c r="C13" s="73" t="s">
        <v>132</v>
      </c>
      <c r="D13" s="74" t="str">
        <f t="shared" si="1"/>
        <v>jan/2016</v>
      </c>
      <c r="E13" s="53">
        <v>42375</v>
      </c>
      <c r="F13" s="75" t="s">
        <v>133</v>
      </c>
      <c r="G13" s="72"/>
      <c r="H13" s="49" t="s">
        <v>247</v>
      </c>
      <c r="I13" s="49" t="s">
        <v>135</v>
      </c>
      <c r="J13" s="76">
        <v>-3408.02</v>
      </c>
      <c r="K13" s="83" t="str">
        <f>IFERROR(IFERROR(VLOOKUP(I13,'DE-PARA'!B:D,3,0),VLOOKUP(I13,'DE-PARA'!C:D,2,0)),"NÃO ENCONTRADO")</f>
        <v>Pessoal</v>
      </c>
      <c r="L13" s="50" t="str">
        <f>VLOOKUP(K13,'Base -Receita-Despesa'!$B:$P,1,FALSE)</f>
        <v>Pessoal</v>
      </c>
    </row>
    <row r="14" spans="1:12" ht="15" customHeight="1" x14ac:dyDescent="0.3">
      <c r="A14" s="82" t="str">
        <f t="shared" si="0"/>
        <v>2016</v>
      </c>
      <c r="B14" s="72" t="s">
        <v>131</v>
      </c>
      <c r="C14" s="73" t="s">
        <v>132</v>
      </c>
      <c r="D14" s="74" t="str">
        <f t="shared" si="1"/>
        <v>jan/2016</v>
      </c>
      <c r="E14" s="53">
        <v>42375</v>
      </c>
      <c r="F14" s="75" t="s">
        <v>151</v>
      </c>
      <c r="G14" s="72"/>
      <c r="H14" s="49" t="s">
        <v>152</v>
      </c>
      <c r="I14" s="49" t="s">
        <v>153</v>
      </c>
      <c r="J14" s="76">
        <v>-2000</v>
      </c>
      <c r="K14" s="83" t="str">
        <f>IFERROR(IFERROR(VLOOKUP(I14,'DE-PARA'!B:D,3,0),VLOOKUP(I14,'DE-PARA'!C:D,2,0)),"NÃO ENCONTRADO")</f>
        <v>Outras Saídas</v>
      </c>
      <c r="L14" s="50" t="str">
        <f>VLOOKUP(K14,'Base -Receita-Despesa'!$B:$P,1,FALSE)</f>
        <v>Outras Saídas</v>
      </c>
    </row>
    <row r="15" spans="1:12" ht="15" customHeight="1" x14ac:dyDescent="0.3">
      <c r="A15" s="82" t="str">
        <f t="shared" si="0"/>
        <v>2016</v>
      </c>
      <c r="B15" s="72" t="s">
        <v>131</v>
      </c>
      <c r="C15" s="73" t="s">
        <v>132</v>
      </c>
      <c r="D15" s="74" t="str">
        <f t="shared" si="1"/>
        <v>jan/2016</v>
      </c>
      <c r="E15" s="53">
        <v>42375</v>
      </c>
      <c r="F15" s="75" t="s">
        <v>122</v>
      </c>
      <c r="G15" s="72"/>
      <c r="H15" s="49" t="s">
        <v>248</v>
      </c>
      <c r="I15" s="49" t="s">
        <v>124</v>
      </c>
      <c r="J15" s="76">
        <v>-14095.35</v>
      </c>
      <c r="K15" s="83" t="str">
        <f>IFERROR(IFERROR(VLOOKUP(I15,'DE-PARA'!B:D,3,0),VLOOKUP(I15,'DE-PARA'!C:D,2,0)),"NÃO ENCONTRADO")</f>
        <v>Rescisões Trabalhistas</v>
      </c>
      <c r="L15" s="50" t="str">
        <f>VLOOKUP(K15,'Base -Receita-Despesa'!$B:$P,1,FALSE)</f>
        <v>Rescisões Trabalhistas</v>
      </c>
    </row>
    <row r="16" spans="1:12" ht="15" customHeight="1" x14ac:dyDescent="0.3">
      <c r="A16" s="82" t="str">
        <f t="shared" si="0"/>
        <v>2016</v>
      </c>
      <c r="B16" s="72" t="s">
        <v>131</v>
      </c>
      <c r="C16" s="73" t="s">
        <v>132</v>
      </c>
      <c r="D16" s="74" t="str">
        <f t="shared" si="1"/>
        <v>jan/2016</v>
      </c>
      <c r="E16" s="53">
        <v>42375</v>
      </c>
      <c r="F16" s="75" t="s">
        <v>243</v>
      </c>
      <c r="G16" s="72"/>
      <c r="H16" s="49" t="s">
        <v>248</v>
      </c>
      <c r="I16" s="49" t="s">
        <v>124</v>
      </c>
      <c r="J16" s="76">
        <v>-39878.28</v>
      </c>
      <c r="K16" s="83" t="str">
        <f>IFERROR(IFERROR(VLOOKUP(I16,'DE-PARA'!B:D,3,0),VLOOKUP(I16,'DE-PARA'!C:D,2,0)),"NÃO ENCONTRADO")</f>
        <v>Rescisões Trabalhistas</v>
      </c>
      <c r="L16" s="50" t="str">
        <f>VLOOKUP(K16,'Base -Receita-Despesa'!$B:$P,1,FALSE)</f>
        <v>Rescisões Trabalhistas</v>
      </c>
    </row>
    <row r="17" spans="1:12" ht="15" customHeight="1" x14ac:dyDescent="0.3">
      <c r="A17" s="82" t="str">
        <f t="shared" si="0"/>
        <v>2016</v>
      </c>
      <c r="B17" s="72" t="s">
        <v>131</v>
      </c>
      <c r="C17" s="73" t="s">
        <v>132</v>
      </c>
      <c r="D17" s="74" t="str">
        <f t="shared" si="1"/>
        <v>jan/2016</v>
      </c>
      <c r="E17" s="53">
        <v>42376</v>
      </c>
      <c r="F17" s="75" t="s">
        <v>197</v>
      </c>
      <c r="G17" s="72"/>
      <c r="H17" s="49" t="s">
        <v>154</v>
      </c>
      <c r="I17" s="49" t="s">
        <v>1497</v>
      </c>
      <c r="J17" s="76">
        <v>40364.33</v>
      </c>
      <c r="K17" s="83" t="str">
        <f>IFERROR(IFERROR(VLOOKUP(I17,'DE-PARA'!B:D,3,0),VLOOKUP(I17,'DE-PARA'!C:D,2,0)),"NÃO ENCONTRADO")</f>
        <v>Repasses Contrato de Gestão</v>
      </c>
      <c r="L17" s="50" t="str">
        <f>VLOOKUP(K17,'Base -Receita-Despesa'!$B:$P,1,FALSE)</f>
        <v>Repasses Contrato de Gestão</v>
      </c>
    </row>
    <row r="18" spans="1:12" ht="15" customHeight="1" x14ac:dyDescent="0.3">
      <c r="A18" s="82" t="str">
        <f t="shared" si="0"/>
        <v>2016</v>
      </c>
      <c r="B18" s="72" t="s">
        <v>131</v>
      </c>
      <c r="C18" s="73" t="s">
        <v>132</v>
      </c>
      <c r="D18" s="74" t="str">
        <f t="shared" si="1"/>
        <v>jan/2016</v>
      </c>
      <c r="E18" s="53">
        <v>42376</v>
      </c>
      <c r="F18" s="75" t="s">
        <v>122</v>
      </c>
      <c r="G18" s="72"/>
      <c r="H18" s="49" t="s">
        <v>250</v>
      </c>
      <c r="I18" s="49" t="s">
        <v>122</v>
      </c>
      <c r="J18" s="76">
        <v>-40364.33</v>
      </c>
      <c r="K18" s="83" t="str">
        <f>IFERROR(IFERROR(VLOOKUP(I18,'DE-PARA'!B:D,3,0),VLOOKUP(I18,'DE-PARA'!C:D,2,0)),"NÃO ENCONTRADO")</f>
        <v>Encargos sobre Folha de Pagamento</v>
      </c>
      <c r="L18" s="50" t="str">
        <f>VLOOKUP(K18,'Base -Receita-Despesa'!$B:$P,1,FALSE)</f>
        <v>Encargos sobre Folha de Pagamento</v>
      </c>
    </row>
    <row r="19" spans="1:12" ht="15" customHeight="1" x14ac:dyDescent="0.3">
      <c r="A19" s="82" t="str">
        <f t="shared" si="0"/>
        <v>2016</v>
      </c>
      <c r="B19" s="72" t="s">
        <v>131</v>
      </c>
      <c r="C19" s="73" t="s">
        <v>132</v>
      </c>
      <c r="D19" s="74" t="str">
        <f t="shared" si="1"/>
        <v>jan/2016</v>
      </c>
      <c r="E19" s="53">
        <v>42376</v>
      </c>
      <c r="F19" s="75" t="s">
        <v>133</v>
      </c>
      <c r="G19" s="72"/>
      <c r="H19" s="49" t="s">
        <v>247</v>
      </c>
      <c r="I19" s="49" t="s">
        <v>135</v>
      </c>
      <c r="J19" s="76">
        <v>-55269.37</v>
      </c>
      <c r="K19" s="83" t="str">
        <f>IFERROR(IFERROR(VLOOKUP(I19,'DE-PARA'!B:D,3,0),VLOOKUP(I19,'DE-PARA'!C:D,2,0)),"NÃO ENCONTRADO")</f>
        <v>Pessoal</v>
      </c>
      <c r="L19" s="50" t="str">
        <f>VLOOKUP(K19,'Base -Receita-Despesa'!$B:$P,1,FALSE)</f>
        <v>Pessoal</v>
      </c>
    </row>
    <row r="20" spans="1:12" ht="15" customHeight="1" x14ac:dyDescent="0.3">
      <c r="A20" s="82" t="str">
        <f t="shared" si="0"/>
        <v>2016</v>
      </c>
      <c r="B20" s="72" t="s">
        <v>131</v>
      </c>
      <c r="C20" s="73" t="s">
        <v>132</v>
      </c>
      <c r="D20" s="74" t="str">
        <f t="shared" si="1"/>
        <v>jan/2016</v>
      </c>
      <c r="E20" s="53">
        <v>42377</v>
      </c>
      <c r="F20" s="75" t="s">
        <v>136</v>
      </c>
      <c r="G20" s="72"/>
      <c r="H20" s="49" t="s">
        <v>251</v>
      </c>
      <c r="I20" s="49" t="s">
        <v>129</v>
      </c>
      <c r="J20" s="76">
        <v>-3.69</v>
      </c>
      <c r="K20" s="83" t="str">
        <f>IFERROR(IFERROR(VLOOKUP(I20,'DE-PARA'!B:D,3,0),VLOOKUP(I20,'DE-PARA'!C:D,2,0)),"NÃO ENCONTRADO")</f>
        <v>Outras Saídas</v>
      </c>
      <c r="L20" s="50" t="str">
        <f>VLOOKUP(K20,'Base -Receita-Despesa'!$B:$P,1,FALSE)</f>
        <v>Outras Saídas</v>
      </c>
    </row>
    <row r="21" spans="1:12" ht="15" customHeight="1" x14ac:dyDescent="0.3">
      <c r="A21" s="82" t="str">
        <f t="shared" si="0"/>
        <v>2016</v>
      </c>
      <c r="B21" s="72" t="s">
        <v>131</v>
      </c>
      <c r="C21" s="73" t="s">
        <v>132</v>
      </c>
      <c r="D21" s="74" t="str">
        <f t="shared" si="1"/>
        <v>jan/2016</v>
      </c>
      <c r="E21" s="53">
        <v>42380</v>
      </c>
      <c r="F21" s="75" t="s">
        <v>136</v>
      </c>
      <c r="G21" s="72"/>
      <c r="H21" s="49" t="s">
        <v>251</v>
      </c>
      <c r="I21" s="49" t="s">
        <v>129</v>
      </c>
      <c r="J21" s="76">
        <v>-56.58</v>
      </c>
      <c r="K21" s="83" t="str">
        <f>IFERROR(IFERROR(VLOOKUP(I21,'DE-PARA'!B:D,3,0),VLOOKUP(I21,'DE-PARA'!C:D,2,0)),"NÃO ENCONTRADO")</f>
        <v>Outras Saídas</v>
      </c>
      <c r="L21" s="50" t="str">
        <f>VLOOKUP(K21,'Base -Receita-Despesa'!$B:$P,1,FALSE)</f>
        <v>Outras Saídas</v>
      </c>
    </row>
    <row r="22" spans="1:12" ht="15" customHeight="1" x14ac:dyDescent="0.3">
      <c r="A22" s="82" t="str">
        <f t="shared" si="0"/>
        <v>2016</v>
      </c>
      <c r="B22" s="72" t="s">
        <v>131</v>
      </c>
      <c r="C22" s="73" t="s">
        <v>132</v>
      </c>
      <c r="D22" s="74" t="str">
        <f t="shared" si="1"/>
        <v>jan/2016</v>
      </c>
      <c r="E22" s="53">
        <v>42382</v>
      </c>
      <c r="F22" s="75" t="s">
        <v>252</v>
      </c>
      <c r="G22" s="72"/>
      <c r="H22" s="49" t="s">
        <v>253</v>
      </c>
      <c r="I22" s="49" t="s">
        <v>168</v>
      </c>
      <c r="J22" s="76">
        <v>-172.29</v>
      </c>
      <c r="K22" s="83" t="str">
        <f>IFERROR(IFERROR(VLOOKUP(I22,'DE-PARA'!B:D,3,0),VLOOKUP(I22,'DE-PARA'!C:D,2,0)),"NÃO ENCONTRADO")</f>
        <v>Pessoal</v>
      </c>
      <c r="L22" s="50" t="str">
        <f>VLOOKUP(K22,'Base -Receita-Despesa'!$B:$P,1,FALSE)</f>
        <v>Pessoal</v>
      </c>
    </row>
    <row r="23" spans="1:12" ht="15" customHeight="1" x14ac:dyDescent="0.3">
      <c r="A23" s="82" t="str">
        <f t="shared" si="0"/>
        <v>2016</v>
      </c>
      <c r="B23" s="72" t="s">
        <v>131</v>
      </c>
      <c r="C23" s="73" t="s">
        <v>132</v>
      </c>
      <c r="D23" s="74" t="str">
        <f t="shared" si="1"/>
        <v>jan/2016</v>
      </c>
      <c r="E23" s="53">
        <v>42382</v>
      </c>
      <c r="F23" s="75" t="s">
        <v>197</v>
      </c>
      <c r="G23" s="72"/>
      <c r="H23" s="49" t="s">
        <v>154</v>
      </c>
      <c r="I23" s="49" t="s">
        <v>1497</v>
      </c>
      <c r="J23" s="76">
        <v>388733.65</v>
      </c>
      <c r="K23" s="83" t="str">
        <f>IFERROR(IFERROR(VLOOKUP(I23,'DE-PARA'!B:D,3,0),VLOOKUP(I23,'DE-PARA'!C:D,2,0)),"NÃO ENCONTRADO")</f>
        <v>Repasses Contrato de Gestão</v>
      </c>
      <c r="L23" s="50" t="str">
        <f>VLOOKUP(K23,'Base -Receita-Despesa'!$B:$P,1,FALSE)</f>
        <v>Repasses Contrato de Gestão</v>
      </c>
    </row>
    <row r="24" spans="1:12" ht="15" customHeight="1" x14ac:dyDescent="0.3">
      <c r="A24" s="82" t="str">
        <f t="shared" si="0"/>
        <v>2016</v>
      </c>
      <c r="B24" s="72" t="s">
        <v>131</v>
      </c>
      <c r="C24" s="73" t="s">
        <v>132</v>
      </c>
      <c r="D24" s="74" t="str">
        <f t="shared" si="1"/>
        <v>jan/2016</v>
      </c>
      <c r="E24" s="53">
        <v>42382</v>
      </c>
      <c r="F24" s="75" t="s">
        <v>197</v>
      </c>
      <c r="G24" s="72"/>
      <c r="H24" s="49" t="s">
        <v>154</v>
      </c>
      <c r="I24" s="49" t="s">
        <v>1497</v>
      </c>
      <c r="J24" s="76">
        <v>5184.72</v>
      </c>
      <c r="K24" s="83" t="str">
        <f>IFERROR(IFERROR(VLOOKUP(I24,'DE-PARA'!B:D,3,0),VLOOKUP(I24,'DE-PARA'!C:D,2,0)),"NÃO ENCONTRADO")</f>
        <v>Repasses Contrato de Gestão</v>
      </c>
      <c r="L24" s="50" t="str">
        <f>VLOOKUP(K24,'Base -Receita-Despesa'!$B:$P,1,FALSE)</f>
        <v>Repasses Contrato de Gestão</v>
      </c>
    </row>
    <row r="25" spans="1:12" ht="15" customHeight="1" x14ac:dyDescent="0.3">
      <c r="A25" s="82" t="str">
        <f t="shared" si="0"/>
        <v>2016</v>
      </c>
      <c r="B25" s="72" t="s">
        <v>131</v>
      </c>
      <c r="C25" s="73" t="s">
        <v>132</v>
      </c>
      <c r="D25" s="74" t="str">
        <f t="shared" si="1"/>
        <v>jan/2016</v>
      </c>
      <c r="E25" s="53">
        <v>42382</v>
      </c>
      <c r="F25" s="75" t="s">
        <v>136</v>
      </c>
      <c r="G25" s="72"/>
      <c r="H25" s="49" t="s">
        <v>149</v>
      </c>
      <c r="I25" s="49" t="s">
        <v>129</v>
      </c>
      <c r="J25" s="76">
        <v>-7.85</v>
      </c>
      <c r="K25" s="83" t="str">
        <f>IFERROR(IFERROR(VLOOKUP(I25,'DE-PARA'!B:D,3,0),VLOOKUP(I25,'DE-PARA'!C:D,2,0)),"NÃO ENCONTRADO")</f>
        <v>Outras Saídas</v>
      </c>
      <c r="L25" s="50" t="str">
        <f>VLOOKUP(K25,'Base -Receita-Despesa'!$B:$P,1,FALSE)</f>
        <v>Outras Saídas</v>
      </c>
    </row>
    <row r="26" spans="1:12" ht="15" customHeight="1" x14ac:dyDescent="0.3">
      <c r="A26" s="82" t="str">
        <f t="shared" si="0"/>
        <v>2016</v>
      </c>
      <c r="B26" s="72" t="s">
        <v>131</v>
      </c>
      <c r="C26" s="73" t="s">
        <v>132</v>
      </c>
      <c r="D26" s="74" t="str">
        <f t="shared" si="1"/>
        <v>jan/2016</v>
      </c>
      <c r="E26" s="53">
        <v>42382</v>
      </c>
      <c r="F26" s="75" t="s">
        <v>133</v>
      </c>
      <c r="G26" s="72"/>
      <c r="H26" s="49" t="s">
        <v>247</v>
      </c>
      <c r="I26" s="49" t="s">
        <v>135</v>
      </c>
      <c r="J26" s="76">
        <v>-208069.88</v>
      </c>
      <c r="K26" s="83" t="str">
        <f>IFERROR(IFERROR(VLOOKUP(I26,'DE-PARA'!B:D,3,0),VLOOKUP(I26,'DE-PARA'!C:D,2,0)),"NÃO ENCONTRADO")</f>
        <v>Pessoal</v>
      </c>
      <c r="L26" s="50" t="str">
        <f>VLOOKUP(K26,'Base -Receita-Despesa'!$B:$P,1,FALSE)</f>
        <v>Pessoal</v>
      </c>
    </row>
    <row r="27" spans="1:12" ht="15" customHeight="1" x14ac:dyDescent="0.3">
      <c r="A27" s="82" t="str">
        <f t="shared" si="0"/>
        <v>2016</v>
      </c>
      <c r="B27" s="72" t="s">
        <v>131</v>
      </c>
      <c r="C27" s="73" t="s">
        <v>132</v>
      </c>
      <c r="D27" s="74" t="str">
        <f t="shared" si="1"/>
        <v>jan/2016</v>
      </c>
      <c r="E27" s="53">
        <v>42382</v>
      </c>
      <c r="F27" s="75" t="s">
        <v>199</v>
      </c>
      <c r="G27" s="72"/>
      <c r="H27" s="49" t="s">
        <v>234</v>
      </c>
      <c r="I27" s="49" t="s">
        <v>192</v>
      </c>
      <c r="J27" s="76">
        <v>-93.06</v>
      </c>
      <c r="K27" s="83" t="str">
        <f>IFERROR(IFERROR(VLOOKUP(I27,'DE-PARA'!B:D,3,0),VLOOKUP(I27,'DE-PARA'!C:D,2,0)),"NÃO ENCONTRADO")</f>
        <v>Materiais</v>
      </c>
      <c r="L27" s="50" t="str">
        <f>VLOOKUP(K27,'Base -Receita-Despesa'!$B:$P,1,FALSE)</f>
        <v>Materiais</v>
      </c>
    </row>
    <row r="28" spans="1:12" ht="15" customHeight="1" x14ac:dyDescent="0.3">
      <c r="A28" s="82" t="str">
        <f t="shared" si="0"/>
        <v>2016</v>
      </c>
      <c r="B28" s="72" t="s">
        <v>131</v>
      </c>
      <c r="C28" s="73" t="s">
        <v>132</v>
      </c>
      <c r="D28" s="74" t="str">
        <f t="shared" si="1"/>
        <v>jan/2016</v>
      </c>
      <c r="E28" s="53">
        <v>42382</v>
      </c>
      <c r="F28" s="75" t="s">
        <v>199</v>
      </c>
      <c r="G28" s="72"/>
      <c r="H28" s="49" t="s">
        <v>234</v>
      </c>
      <c r="I28" s="49" t="s">
        <v>192</v>
      </c>
      <c r="J28" s="76">
        <v>-194.05</v>
      </c>
      <c r="K28" s="83" t="str">
        <f>IFERROR(IFERROR(VLOOKUP(I28,'DE-PARA'!B:D,3,0),VLOOKUP(I28,'DE-PARA'!C:D,2,0)),"NÃO ENCONTRADO")</f>
        <v>Materiais</v>
      </c>
      <c r="L28" s="50" t="str">
        <f>VLOOKUP(K28,'Base -Receita-Despesa'!$B:$P,1,FALSE)</f>
        <v>Materiais</v>
      </c>
    </row>
    <row r="29" spans="1:12" ht="15" customHeight="1" x14ac:dyDescent="0.3">
      <c r="A29" s="82" t="str">
        <f t="shared" si="0"/>
        <v>2016</v>
      </c>
      <c r="B29" s="72" t="s">
        <v>131</v>
      </c>
      <c r="C29" s="73" t="s">
        <v>132</v>
      </c>
      <c r="D29" s="74" t="str">
        <f t="shared" si="1"/>
        <v>jan/2016</v>
      </c>
      <c r="E29" s="53">
        <v>42382</v>
      </c>
      <c r="F29" s="75" t="s">
        <v>252</v>
      </c>
      <c r="G29" s="72"/>
      <c r="H29" s="49" t="s">
        <v>254</v>
      </c>
      <c r="I29" s="49" t="s">
        <v>168</v>
      </c>
      <c r="J29" s="76">
        <v>-3258.42</v>
      </c>
      <c r="K29" s="83" t="str">
        <f>IFERROR(IFERROR(VLOOKUP(I29,'DE-PARA'!B:D,3,0),VLOOKUP(I29,'DE-PARA'!C:D,2,0)),"NÃO ENCONTRADO")</f>
        <v>Pessoal</v>
      </c>
      <c r="L29" s="50" t="str">
        <f>VLOOKUP(K29,'Base -Receita-Despesa'!$B:$P,1,FALSE)</f>
        <v>Pessoal</v>
      </c>
    </row>
    <row r="30" spans="1:12" ht="15" customHeight="1" x14ac:dyDescent="0.3">
      <c r="A30" s="82" t="str">
        <f t="shared" si="0"/>
        <v>2016</v>
      </c>
      <c r="B30" s="72" t="s">
        <v>131</v>
      </c>
      <c r="C30" s="73" t="s">
        <v>132</v>
      </c>
      <c r="D30" s="74" t="str">
        <f t="shared" si="1"/>
        <v>jan/2016</v>
      </c>
      <c r="E30" s="53">
        <v>42382</v>
      </c>
      <c r="F30" s="75" t="s">
        <v>252</v>
      </c>
      <c r="G30" s="72"/>
      <c r="H30" s="49" t="s">
        <v>255</v>
      </c>
      <c r="I30" s="49" t="s">
        <v>168</v>
      </c>
      <c r="J30" s="76">
        <v>-2967.82</v>
      </c>
      <c r="K30" s="83" t="str">
        <f>IFERROR(IFERROR(VLOOKUP(I30,'DE-PARA'!B:D,3,0),VLOOKUP(I30,'DE-PARA'!C:D,2,0)),"NÃO ENCONTRADO")</f>
        <v>Pessoal</v>
      </c>
      <c r="L30" s="50" t="str">
        <f>VLOOKUP(K30,'Base -Receita-Despesa'!$B:$P,1,FALSE)</f>
        <v>Pessoal</v>
      </c>
    </row>
    <row r="31" spans="1:12" ht="15" customHeight="1" x14ac:dyDescent="0.3">
      <c r="A31" s="82" t="str">
        <f t="shared" si="0"/>
        <v>2016</v>
      </c>
      <c r="B31" s="72" t="s">
        <v>131</v>
      </c>
      <c r="C31" s="73" t="s">
        <v>132</v>
      </c>
      <c r="D31" s="74" t="str">
        <f t="shared" si="1"/>
        <v>jan/2016</v>
      </c>
      <c r="E31" s="53">
        <v>42383</v>
      </c>
      <c r="F31" s="75" t="s">
        <v>122</v>
      </c>
      <c r="G31" s="72"/>
      <c r="H31" s="49" t="s">
        <v>256</v>
      </c>
      <c r="I31" s="49" t="s">
        <v>124</v>
      </c>
      <c r="J31" s="76">
        <v>-3273.99</v>
      </c>
      <c r="K31" s="83" t="str">
        <f>IFERROR(IFERROR(VLOOKUP(I31,'DE-PARA'!B:D,3,0),VLOOKUP(I31,'DE-PARA'!C:D,2,0)),"NÃO ENCONTRADO")</f>
        <v>Rescisões Trabalhistas</v>
      </c>
      <c r="L31" s="50" t="str">
        <f>VLOOKUP(K31,'Base -Receita-Despesa'!$B:$P,1,FALSE)</f>
        <v>Rescisões Trabalhistas</v>
      </c>
    </row>
    <row r="32" spans="1:12" ht="15" customHeight="1" x14ac:dyDescent="0.3">
      <c r="A32" s="82" t="str">
        <f t="shared" si="0"/>
        <v>2016</v>
      </c>
      <c r="B32" s="72" t="s">
        <v>131</v>
      </c>
      <c r="C32" s="73" t="s">
        <v>132</v>
      </c>
      <c r="D32" s="74" t="str">
        <f t="shared" si="1"/>
        <v>jan/2016</v>
      </c>
      <c r="E32" s="53">
        <v>42383</v>
      </c>
      <c r="F32" s="75" t="s">
        <v>243</v>
      </c>
      <c r="G32" s="72"/>
      <c r="H32" s="49" t="s">
        <v>256</v>
      </c>
      <c r="I32" s="49" t="s">
        <v>124</v>
      </c>
      <c r="J32" s="76">
        <v>-16006.62</v>
      </c>
      <c r="K32" s="83" t="str">
        <f>IFERROR(IFERROR(VLOOKUP(I32,'DE-PARA'!B:D,3,0),VLOOKUP(I32,'DE-PARA'!C:D,2,0)),"NÃO ENCONTRADO")</f>
        <v>Rescisões Trabalhistas</v>
      </c>
      <c r="L32" s="50" t="str">
        <f>VLOOKUP(K32,'Base -Receita-Despesa'!$B:$P,1,FALSE)</f>
        <v>Rescisões Trabalhistas</v>
      </c>
    </row>
    <row r="33" spans="1:12" ht="15" customHeight="1" x14ac:dyDescent="0.3">
      <c r="A33" s="82" t="str">
        <f t="shared" si="0"/>
        <v>2016</v>
      </c>
      <c r="B33" s="72" t="s">
        <v>131</v>
      </c>
      <c r="C33" s="73" t="s">
        <v>132</v>
      </c>
      <c r="D33" s="74" t="str">
        <f t="shared" si="1"/>
        <v>jan/2016</v>
      </c>
      <c r="E33" s="53">
        <v>42383</v>
      </c>
      <c r="F33" s="75" t="s">
        <v>257</v>
      </c>
      <c r="G33" s="72"/>
      <c r="H33" s="49" t="s">
        <v>258</v>
      </c>
      <c r="I33" s="49" t="s">
        <v>112</v>
      </c>
      <c r="J33" s="76">
        <v>-1453.54</v>
      </c>
      <c r="K33" s="83" t="str">
        <f>IFERROR(IFERROR(VLOOKUP(I33,'DE-PARA'!B:D,3,0),VLOOKUP(I33,'DE-PARA'!C:D,2,0)),"NÃO ENCONTRADO")</f>
        <v>Serviços</v>
      </c>
      <c r="L33" s="50" t="str">
        <f>VLOOKUP(K33,'Base -Receita-Despesa'!$B:$P,1,FALSE)</f>
        <v>Serviços</v>
      </c>
    </row>
    <row r="34" spans="1:12" ht="15" customHeight="1" x14ac:dyDescent="0.3">
      <c r="A34" s="82" t="str">
        <f t="shared" si="0"/>
        <v>2016</v>
      </c>
      <c r="B34" s="72" t="s">
        <v>131</v>
      </c>
      <c r="C34" s="73" t="s">
        <v>132</v>
      </c>
      <c r="D34" s="74" t="str">
        <f t="shared" si="1"/>
        <v>jan/2016</v>
      </c>
      <c r="E34" s="53">
        <v>42384</v>
      </c>
      <c r="F34" s="75" t="s">
        <v>259</v>
      </c>
      <c r="G34" s="72"/>
      <c r="H34" s="49" t="s">
        <v>253</v>
      </c>
      <c r="I34" s="49" t="s">
        <v>168</v>
      </c>
      <c r="J34" s="76">
        <v>-8.73</v>
      </c>
      <c r="K34" s="83" t="str">
        <f>IFERROR(IFERROR(VLOOKUP(I34,'DE-PARA'!B:D,3,0),VLOOKUP(I34,'DE-PARA'!C:D,2,0)),"NÃO ENCONTRADO")</f>
        <v>Pessoal</v>
      </c>
      <c r="L34" s="50" t="str">
        <f>VLOOKUP(K34,'Base -Receita-Despesa'!$B:$P,1,FALSE)</f>
        <v>Pessoal</v>
      </c>
    </row>
    <row r="35" spans="1:12" ht="15" customHeight="1" x14ac:dyDescent="0.3">
      <c r="A35" s="82" t="str">
        <f t="shared" si="0"/>
        <v>2016</v>
      </c>
      <c r="B35" s="72" t="s">
        <v>131</v>
      </c>
      <c r="C35" s="73" t="s">
        <v>132</v>
      </c>
      <c r="D35" s="74" t="str">
        <f t="shared" si="1"/>
        <v>jan/2016</v>
      </c>
      <c r="E35" s="53">
        <v>42384</v>
      </c>
      <c r="F35" s="75" t="s">
        <v>136</v>
      </c>
      <c r="G35" s="72"/>
      <c r="H35" s="49" t="s">
        <v>251</v>
      </c>
      <c r="I35" s="49" t="s">
        <v>129</v>
      </c>
      <c r="J35" s="76">
        <v>-65.19</v>
      </c>
      <c r="K35" s="83" t="str">
        <f>IFERROR(IFERROR(VLOOKUP(I35,'DE-PARA'!B:D,3,0),VLOOKUP(I35,'DE-PARA'!C:D,2,0)),"NÃO ENCONTRADO")</f>
        <v>Outras Saídas</v>
      </c>
      <c r="L35" s="50" t="str">
        <f>VLOOKUP(K35,'Base -Receita-Despesa'!$B:$P,1,FALSE)</f>
        <v>Outras Saídas</v>
      </c>
    </row>
    <row r="36" spans="1:12" ht="15" customHeight="1" x14ac:dyDescent="0.3">
      <c r="A36" s="82" t="str">
        <f t="shared" si="0"/>
        <v>2016</v>
      </c>
      <c r="B36" s="72" t="s">
        <v>131</v>
      </c>
      <c r="C36" s="73" t="s">
        <v>132</v>
      </c>
      <c r="D36" s="74" t="str">
        <f t="shared" si="1"/>
        <v>jan/2016</v>
      </c>
      <c r="E36" s="53">
        <v>42384</v>
      </c>
      <c r="F36" s="75" t="s">
        <v>164</v>
      </c>
      <c r="G36" s="72"/>
      <c r="H36" s="49" t="s">
        <v>165</v>
      </c>
      <c r="I36" s="49" t="s">
        <v>113</v>
      </c>
      <c r="J36" s="76">
        <v>-3982.38</v>
      </c>
      <c r="K36" s="83" t="str">
        <f>IFERROR(IFERROR(VLOOKUP(I36,'DE-PARA'!B:D,3,0),VLOOKUP(I36,'DE-PARA'!C:D,2,0)),"NÃO ENCONTRADO")</f>
        <v>Serviços</v>
      </c>
      <c r="L36" s="50" t="str">
        <f>VLOOKUP(K36,'Base -Receita-Despesa'!$B:$P,1,FALSE)</f>
        <v>Serviços</v>
      </c>
    </row>
    <row r="37" spans="1:12" ht="15" customHeight="1" x14ac:dyDescent="0.3">
      <c r="A37" s="82" t="str">
        <f t="shared" si="0"/>
        <v>2016</v>
      </c>
      <c r="B37" s="72" t="s">
        <v>131</v>
      </c>
      <c r="C37" s="73" t="s">
        <v>132</v>
      </c>
      <c r="D37" s="74" t="str">
        <f t="shared" si="1"/>
        <v>jan/2016</v>
      </c>
      <c r="E37" s="53">
        <v>42384</v>
      </c>
      <c r="F37" s="75" t="s">
        <v>259</v>
      </c>
      <c r="G37" s="72"/>
      <c r="H37" s="49" t="s">
        <v>254</v>
      </c>
      <c r="I37" s="49" t="s">
        <v>168</v>
      </c>
      <c r="J37" s="76">
        <v>-122.64</v>
      </c>
      <c r="K37" s="83" t="str">
        <f>IFERROR(IFERROR(VLOOKUP(I37,'DE-PARA'!B:D,3,0),VLOOKUP(I37,'DE-PARA'!C:D,2,0)),"NÃO ENCONTRADO")</f>
        <v>Pessoal</v>
      </c>
      <c r="L37" s="50" t="str">
        <f>VLOOKUP(K37,'Base -Receita-Despesa'!$B:$P,1,FALSE)</f>
        <v>Pessoal</v>
      </c>
    </row>
    <row r="38" spans="1:12" ht="15" customHeight="1" x14ac:dyDescent="0.3">
      <c r="A38" s="82" t="str">
        <f t="shared" si="0"/>
        <v>2016</v>
      </c>
      <c r="B38" s="72" t="s">
        <v>131</v>
      </c>
      <c r="C38" s="73" t="s">
        <v>132</v>
      </c>
      <c r="D38" s="74" t="str">
        <f t="shared" si="1"/>
        <v>jan/2016</v>
      </c>
      <c r="E38" s="53">
        <v>42384</v>
      </c>
      <c r="F38" s="75" t="s">
        <v>259</v>
      </c>
      <c r="G38" s="72"/>
      <c r="H38" s="49" t="s">
        <v>255</v>
      </c>
      <c r="I38" s="49" t="s">
        <v>168</v>
      </c>
      <c r="J38" s="76">
        <v>-110.64</v>
      </c>
      <c r="K38" s="83" t="str">
        <f>IFERROR(IFERROR(VLOOKUP(I38,'DE-PARA'!B:D,3,0),VLOOKUP(I38,'DE-PARA'!C:D,2,0)),"NÃO ENCONTRADO")</f>
        <v>Pessoal</v>
      </c>
      <c r="L38" s="50" t="str">
        <f>VLOOKUP(K38,'Base -Receita-Despesa'!$B:$P,1,FALSE)</f>
        <v>Pessoal</v>
      </c>
    </row>
    <row r="39" spans="1:12" ht="15" customHeight="1" x14ac:dyDescent="0.3">
      <c r="A39" s="82" t="str">
        <f t="shared" si="0"/>
        <v>2016</v>
      </c>
      <c r="B39" s="72" t="s">
        <v>131</v>
      </c>
      <c r="C39" s="73" t="s">
        <v>132</v>
      </c>
      <c r="D39" s="74" t="str">
        <f t="shared" si="1"/>
        <v>jan/2016</v>
      </c>
      <c r="E39" s="53">
        <v>42384</v>
      </c>
      <c r="F39" s="75" t="s">
        <v>164</v>
      </c>
      <c r="G39" s="72"/>
      <c r="H39" s="49" t="s">
        <v>172</v>
      </c>
      <c r="I39" s="49" t="s">
        <v>173</v>
      </c>
      <c r="J39" s="76">
        <v>-427.96</v>
      </c>
      <c r="K39" s="83" t="str">
        <f>IFERROR(IFERROR(VLOOKUP(I39,'DE-PARA'!B:D,3,0),VLOOKUP(I39,'DE-PARA'!C:D,2,0)),"NÃO ENCONTRADO")</f>
        <v>Serviços</v>
      </c>
      <c r="L39" s="50" t="str">
        <f>VLOOKUP(K39,'Base -Receita-Despesa'!$B:$P,1,FALSE)</f>
        <v>Serviços</v>
      </c>
    </row>
    <row r="40" spans="1:12" ht="15" customHeight="1" x14ac:dyDescent="0.3">
      <c r="A40" s="82" t="str">
        <f t="shared" si="0"/>
        <v>2016</v>
      </c>
      <c r="B40" s="72" t="s">
        <v>131</v>
      </c>
      <c r="C40" s="73" t="s">
        <v>132</v>
      </c>
      <c r="D40" s="74" t="str">
        <f t="shared" si="1"/>
        <v>jan/2016</v>
      </c>
      <c r="E40" s="53">
        <v>42384</v>
      </c>
      <c r="F40" s="75" t="s">
        <v>164</v>
      </c>
      <c r="G40" s="72"/>
      <c r="H40" s="49" t="s">
        <v>172</v>
      </c>
      <c r="I40" s="49" t="s">
        <v>173</v>
      </c>
      <c r="J40" s="76">
        <v>-774.38</v>
      </c>
      <c r="K40" s="83" t="str">
        <f>IFERROR(IFERROR(VLOOKUP(I40,'DE-PARA'!B:D,3,0),VLOOKUP(I40,'DE-PARA'!C:D,2,0)),"NÃO ENCONTRADO")</f>
        <v>Serviços</v>
      </c>
      <c r="L40" s="50" t="str">
        <f>VLOOKUP(K40,'Base -Receita-Despesa'!$B:$P,1,FALSE)</f>
        <v>Serviços</v>
      </c>
    </row>
    <row r="41" spans="1:12" ht="15" customHeight="1" x14ac:dyDescent="0.3">
      <c r="A41" s="82" t="str">
        <f t="shared" si="0"/>
        <v>2016</v>
      </c>
      <c r="B41" s="72" t="s">
        <v>131</v>
      </c>
      <c r="C41" s="73" t="s">
        <v>132</v>
      </c>
      <c r="D41" s="74" t="str">
        <f t="shared" si="1"/>
        <v>jan/2016</v>
      </c>
      <c r="E41" s="53">
        <v>42387</v>
      </c>
      <c r="F41" s="75" t="s">
        <v>260</v>
      </c>
      <c r="G41" s="72"/>
      <c r="H41" s="49" t="s">
        <v>176</v>
      </c>
      <c r="I41" s="49" t="s">
        <v>177</v>
      </c>
      <c r="J41" s="76">
        <v>-2518.5100000000002</v>
      </c>
      <c r="K41" s="83" t="str">
        <f>IFERROR(IFERROR(VLOOKUP(I41,'DE-PARA'!B:D,3,0),VLOOKUP(I41,'DE-PARA'!C:D,2,0)),"NÃO ENCONTRADO")</f>
        <v>Materiais</v>
      </c>
      <c r="L41" s="50" t="str">
        <f>VLOOKUP(K41,'Base -Receita-Despesa'!$B:$P,1,FALSE)</f>
        <v>Materiais</v>
      </c>
    </row>
    <row r="42" spans="1:12" ht="15" customHeight="1" x14ac:dyDescent="0.3">
      <c r="A42" s="82" t="str">
        <f t="shared" si="0"/>
        <v>2016</v>
      </c>
      <c r="B42" s="72" t="s">
        <v>131</v>
      </c>
      <c r="C42" s="73" t="s">
        <v>132</v>
      </c>
      <c r="D42" s="74" t="str">
        <f t="shared" si="1"/>
        <v>jan/2016</v>
      </c>
      <c r="E42" s="53">
        <v>42387</v>
      </c>
      <c r="F42" s="75" t="s">
        <v>261</v>
      </c>
      <c r="G42" s="72"/>
      <c r="H42" s="49" t="s">
        <v>156</v>
      </c>
      <c r="I42" s="49" t="s">
        <v>157</v>
      </c>
      <c r="J42" s="76">
        <v>-8046.62</v>
      </c>
      <c r="K42" s="83" t="str">
        <f>IFERROR(IFERROR(VLOOKUP(I42,'DE-PARA'!B:D,3,0),VLOOKUP(I42,'DE-PARA'!C:D,2,0)),"NÃO ENCONTRADO")</f>
        <v>Concessionárias (água, luz e telefone)</v>
      </c>
      <c r="L42" s="50" t="str">
        <f>VLOOKUP(K42,'Base -Receita-Despesa'!$B:$P,1,FALSE)</f>
        <v>Concessionárias (água, luz e telefone)</v>
      </c>
    </row>
    <row r="43" spans="1:12" ht="15" customHeight="1" x14ac:dyDescent="0.3">
      <c r="A43" s="82" t="str">
        <f t="shared" si="0"/>
        <v>2016</v>
      </c>
      <c r="B43" s="72" t="s">
        <v>131</v>
      </c>
      <c r="C43" s="73" t="s">
        <v>132</v>
      </c>
      <c r="D43" s="74" t="str">
        <f t="shared" si="1"/>
        <v>jan/2016</v>
      </c>
      <c r="E43" s="53">
        <v>42387</v>
      </c>
      <c r="F43" s="75" t="s">
        <v>262</v>
      </c>
      <c r="G43" s="72"/>
      <c r="H43" s="49" t="s">
        <v>158</v>
      </c>
      <c r="I43" s="49" t="s">
        <v>159</v>
      </c>
      <c r="J43" s="76">
        <v>1037.1300000000001</v>
      </c>
      <c r="K43" s="83" t="str">
        <f>IFERROR(IFERROR(VLOOKUP(I43,'DE-PARA'!B:D,3,0),VLOOKUP(I43,'DE-PARA'!C:D,2,0)),"NÃO ENCONTRADO")</f>
        <v>Materiais</v>
      </c>
      <c r="L43" s="50" t="str">
        <f>VLOOKUP(K43,'Base -Receita-Despesa'!$B:$P,1,FALSE)</f>
        <v>Materiais</v>
      </c>
    </row>
    <row r="44" spans="1:12" ht="15" customHeight="1" x14ac:dyDescent="0.3">
      <c r="A44" s="82" t="str">
        <f t="shared" si="0"/>
        <v>2016</v>
      </c>
      <c r="B44" s="72" t="s">
        <v>131</v>
      </c>
      <c r="C44" s="73" t="s">
        <v>132</v>
      </c>
      <c r="D44" s="74" t="str">
        <f t="shared" si="1"/>
        <v>jan/2016</v>
      </c>
      <c r="E44" s="53">
        <v>42387</v>
      </c>
      <c r="F44" s="75" t="s">
        <v>263</v>
      </c>
      <c r="G44" s="72"/>
      <c r="H44" s="49" t="s">
        <v>158</v>
      </c>
      <c r="I44" s="49" t="s">
        <v>159</v>
      </c>
      <c r="J44" s="76">
        <v>-1037.1300000000001</v>
      </c>
      <c r="K44" s="83" t="str">
        <f>IFERROR(IFERROR(VLOOKUP(I44,'DE-PARA'!B:D,3,0),VLOOKUP(I44,'DE-PARA'!C:D,2,0)),"NÃO ENCONTRADO")</f>
        <v>Materiais</v>
      </c>
      <c r="L44" s="50" t="str">
        <f>VLOOKUP(K44,'Base -Receita-Despesa'!$B:$P,1,FALSE)</f>
        <v>Materiais</v>
      </c>
    </row>
    <row r="45" spans="1:12" ht="15" customHeight="1" x14ac:dyDescent="0.3">
      <c r="A45" s="82" t="str">
        <f t="shared" si="0"/>
        <v>2016</v>
      </c>
      <c r="B45" s="72" t="s">
        <v>131</v>
      </c>
      <c r="C45" s="73" t="s">
        <v>132</v>
      </c>
      <c r="D45" s="74" t="str">
        <f t="shared" si="1"/>
        <v>jan/2016</v>
      </c>
      <c r="E45" s="53">
        <v>42387</v>
      </c>
      <c r="F45" s="75" t="s">
        <v>264</v>
      </c>
      <c r="G45" s="72"/>
      <c r="H45" s="49" t="s">
        <v>158</v>
      </c>
      <c r="I45" s="49" t="s">
        <v>159</v>
      </c>
      <c r="J45" s="76">
        <v>-679.16</v>
      </c>
      <c r="K45" s="83" t="str">
        <f>IFERROR(IFERROR(VLOOKUP(I45,'DE-PARA'!B:D,3,0),VLOOKUP(I45,'DE-PARA'!C:D,2,0)),"NÃO ENCONTRADO")</f>
        <v>Materiais</v>
      </c>
      <c r="L45" s="50" t="str">
        <f>VLOOKUP(K45,'Base -Receita-Despesa'!$B:$P,1,FALSE)</f>
        <v>Materiais</v>
      </c>
    </row>
    <row r="46" spans="1:12" ht="15" customHeight="1" x14ac:dyDescent="0.3">
      <c r="A46" s="82" t="str">
        <f t="shared" si="0"/>
        <v>2016</v>
      </c>
      <c r="B46" s="72" t="s">
        <v>131</v>
      </c>
      <c r="C46" s="73" t="s">
        <v>132</v>
      </c>
      <c r="D46" s="74" t="str">
        <f t="shared" si="1"/>
        <v>jan/2016</v>
      </c>
      <c r="E46" s="53">
        <v>42387</v>
      </c>
      <c r="F46" s="75" t="s">
        <v>265</v>
      </c>
      <c r="G46" s="72"/>
      <c r="H46" s="49" t="s">
        <v>158</v>
      </c>
      <c r="I46" s="49" t="s">
        <v>159</v>
      </c>
      <c r="J46" s="76">
        <v>-363.09</v>
      </c>
      <c r="K46" s="83" t="str">
        <f>IFERROR(IFERROR(VLOOKUP(I46,'DE-PARA'!B:D,3,0),VLOOKUP(I46,'DE-PARA'!C:D,2,0)),"NÃO ENCONTRADO")</f>
        <v>Materiais</v>
      </c>
      <c r="L46" s="50" t="str">
        <f>VLOOKUP(K46,'Base -Receita-Despesa'!$B:$P,1,FALSE)</f>
        <v>Materiais</v>
      </c>
    </row>
    <row r="47" spans="1:12" ht="15" customHeight="1" x14ac:dyDescent="0.3">
      <c r="A47" s="82" t="str">
        <f t="shared" si="0"/>
        <v>2016</v>
      </c>
      <c r="B47" s="72" t="s">
        <v>131</v>
      </c>
      <c r="C47" s="73" t="s">
        <v>132</v>
      </c>
      <c r="D47" s="74" t="str">
        <f t="shared" si="1"/>
        <v>jan/2016</v>
      </c>
      <c r="E47" s="53">
        <v>42387</v>
      </c>
      <c r="F47" s="75" t="s">
        <v>266</v>
      </c>
      <c r="G47" s="72"/>
      <c r="H47" s="49" t="s">
        <v>158</v>
      </c>
      <c r="I47" s="49" t="s">
        <v>159</v>
      </c>
      <c r="J47" s="76">
        <v>-442.13</v>
      </c>
      <c r="K47" s="83" t="str">
        <f>IFERROR(IFERROR(VLOOKUP(I47,'DE-PARA'!B:D,3,0),VLOOKUP(I47,'DE-PARA'!C:D,2,0)),"NÃO ENCONTRADO")</f>
        <v>Materiais</v>
      </c>
      <c r="L47" s="50" t="str">
        <f>VLOOKUP(K47,'Base -Receita-Despesa'!$B:$P,1,FALSE)</f>
        <v>Materiais</v>
      </c>
    </row>
    <row r="48" spans="1:12" ht="15" customHeight="1" x14ac:dyDescent="0.3">
      <c r="A48" s="82" t="str">
        <f t="shared" si="0"/>
        <v>2016</v>
      </c>
      <c r="B48" s="72" t="s">
        <v>131</v>
      </c>
      <c r="C48" s="73" t="s">
        <v>132</v>
      </c>
      <c r="D48" s="74" t="str">
        <f t="shared" si="1"/>
        <v>jan/2016</v>
      </c>
      <c r="E48" s="53">
        <v>42387</v>
      </c>
      <c r="F48" s="75" t="s">
        <v>136</v>
      </c>
      <c r="G48" s="72"/>
      <c r="H48" s="49" t="s">
        <v>149</v>
      </c>
      <c r="I48" s="49" t="s">
        <v>129</v>
      </c>
      <c r="J48" s="76">
        <v>-7.85</v>
      </c>
      <c r="K48" s="83" t="str">
        <f>IFERROR(IFERROR(VLOOKUP(I48,'DE-PARA'!B:D,3,0),VLOOKUP(I48,'DE-PARA'!C:D,2,0)),"NÃO ENCONTRADO")</f>
        <v>Outras Saídas</v>
      </c>
      <c r="L48" s="50" t="str">
        <f>VLOOKUP(K48,'Base -Receita-Despesa'!$B:$P,1,FALSE)</f>
        <v>Outras Saídas</v>
      </c>
    </row>
    <row r="49" spans="1:12" ht="15" customHeight="1" x14ac:dyDescent="0.3">
      <c r="A49" s="82" t="str">
        <f t="shared" si="0"/>
        <v>2016</v>
      </c>
      <c r="B49" s="72" t="s">
        <v>131</v>
      </c>
      <c r="C49" s="73" t="s">
        <v>132</v>
      </c>
      <c r="D49" s="74" t="str">
        <f t="shared" si="1"/>
        <v>jan/2016</v>
      </c>
      <c r="E49" s="53">
        <v>42387</v>
      </c>
      <c r="F49" s="75" t="s">
        <v>136</v>
      </c>
      <c r="G49" s="72"/>
      <c r="H49" s="49" t="s">
        <v>149</v>
      </c>
      <c r="I49" s="49" t="s">
        <v>129</v>
      </c>
      <c r="J49" s="76">
        <v>-7.85</v>
      </c>
      <c r="K49" s="83" t="str">
        <f>IFERROR(IFERROR(VLOOKUP(I49,'DE-PARA'!B:D,3,0),VLOOKUP(I49,'DE-PARA'!C:D,2,0)),"NÃO ENCONTRADO")</f>
        <v>Outras Saídas</v>
      </c>
      <c r="L49" s="50" t="str">
        <f>VLOOKUP(K49,'Base -Receita-Despesa'!$B:$P,1,FALSE)</f>
        <v>Outras Saídas</v>
      </c>
    </row>
    <row r="50" spans="1:12" ht="15" customHeight="1" x14ac:dyDescent="0.3">
      <c r="A50" s="82" t="str">
        <f t="shared" si="0"/>
        <v>2016</v>
      </c>
      <c r="B50" s="72" t="s">
        <v>131</v>
      </c>
      <c r="C50" s="73" t="s">
        <v>132</v>
      </c>
      <c r="D50" s="74" t="str">
        <f t="shared" si="1"/>
        <v>jan/2016</v>
      </c>
      <c r="E50" s="53">
        <v>42387</v>
      </c>
      <c r="F50" s="75" t="s">
        <v>136</v>
      </c>
      <c r="G50" s="72"/>
      <c r="H50" s="49" t="s">
        <v>149</v>
      </c>
      <c r="I50" s="49" t="s">
        <v>129</v>
      </c>
      <c r="J50" s="76">
        <v>-7.85</v>
      </c>
      <c r="K50" s="83" t="str">
        <f>IFERROR(IFERROR(VLOOKUP(I50,'DE-PARA'!B:D,3,0),VLOOKUP(I50,'DE-PARA'!C:D,2,0)),"NÃO ENCONTRADO")</f>
        <v>Outras Saídas</v>
      </c>
      <c r="L50" s="50" t="str">
        <f>VLOOKUP(K50,'Base -Receita-Despesa'!$B:$P,1,FALSE)</f>
        <v>Outras Saídas</v>
      </c>
    </row>
    <row r="51" spans="1:12" ht="15" customHeight="1" x14ac:dyDescent="0.3">
      <c r="A51" s="82" t="str">
        <f t="shared" si="0"/>
        <v>2016</v>
      </c>
      <c r="B51" s="72" t="s">
        <v>131</v>
      </c>
      <c r="C51" s="73" t="s">
        <v>132</v>
      </c>
      <c r="D51" s="74" t="str">
        <f t="shared" si="1"/>
        <v>jan/2016</v>
      </c>
      <c r="E51" s="53">
        <v>42387</v>
      </c>
      <c r="F51" s="75" t="s">
        <v>267</v>
      </c>
      <c r="G51" s="72"/>
      <c r="H51" s="49" t="s">
        <v>213</v>
      </c>
      <c r="I51" s="49" t="s">
        <v>159</v>
      </c>
      <c r="J51" s="76">
        <v>-594.87</v>
      </c>
      <c r="K51" s="83" t="str">
        <f>IFERROR(IFERROR(VLOOKUP(I51,'DE-PARA'!B:D,3,0),VLOOKUP(I51,'DE-PARA'!C:D,2,0)),"NÃO ENCONTRADO")</f>
        <v>Materiais</v>
      </c>
      <c r="L51" s="50" t="str">
        <f>VLOOKUP(K51,'Base -Receita-Despesa'!$B:$P,1,FALSE)</f>
        <v>Materiais</v>
      </c>
    </row>
    <row r="52" spans="1:12" ht="15" customHeight="1" x14ac:dyDescent="0.3">
      <c r="A52" s="82" t="str">
        <f t="shared" si="0"/>
        <v>2016</v>
      </c>
      <c r="B52" s="72" t="s">
        <v>131</v>
      </c>
      <c r="C52" s="73" t="s">
        <v>132</v>
      </c>
      <c r="D52" s="74" t="str">
        <f t="shared" si="1"/>
        <v>jan/2016</v>
      </c>
      <c r="E52" s="53">
        <v>42387</v>
      </c>
      <c r="F52" s="75" t="s">
        <v>268</v>
      </c>
      <c r="G52" s="72"/>
      <c r="H52" s="49" t="s">
        <v>213</v>
      </c>
      <c r="I52" s="49" t="s">
        <v>159</v>
      </c>
      <c r="J52" s="76">
        <v>-921.72</v>
      </c>
      <c r="K52" s="83" t="str">
        <f>IFERROR(IFERROR(VLOOKUP(I52,'DE-PARA'!B:D,3,0),VLOOKUP(I52,'DE-PARA'!C:D,2,0)),"NÃO ENCONTRADO")</f>
        <v>Materiais</v>
      </c>
      <c r="L52" s="50" t="str">
        <f>VLOOKUP(K52,'Base -Receita-Despesa'!$B:$P,1,FALSE)</f>
        <v>Materiais</v>
      </c>
    </row>
    <row r="53" spans="1:12" ht="15" customHeight="1" x14ac:dyDescent="0.3">
      <c r="A53" s="82" t="str">
        <f t="shared" si="0"/>
        <v>2016</v>
      </c>
      <c r="B53" s="72" t="s">
        <v>131</v>
      </c>
      <c r="C53" s="73" t="s">
        <v>132</v>
      </c>
      <c r="D53" s="74" t="str">
        <f t="shared" si="1"/>
        <v>jan/2016</v>
      </c>
      <c r="E53" s="53">
        <v>42387</v>
      </c>
      <c r="F53" s="75" t="s">
        <v>269</v>
      </c>
      <c r="G53" s="72"/>
      <c r="H53" s="49" t="s">
        <v>213</v>
      </c>
      <c r="I53" s="49" t="s">
        <v>159</v>
      </c>
      <c r="J53" s="76">
        <v>-2125.67</v>
      </c>
      <c r="K53" s="83" t="str">
        <f>IFERROR(IFERROR(VLOOKUP(I53,'DE-PARA'!B:D,3,0),VLOOKUP(I53,'DE-PARA'!C:D,2,0)),"NÃO ENCONTRADO")</f>
        <v>Materiais</v>
      </c>
      <c r="L53" s="50" t="str">
        <f>VLOOKUP(K53,'Base -Receita-Despesa'!$B:$P,1,FALSE)</f>
        <v>Materiais</v>
      </c>
    </row>
    <row r="54" spans="1:12" ht="15" customHeight="1" x14ac:dyDescent="0.3">
      <c r="A54" s="82" t="str">
        <f t="shared" si="0"/>
        <v>2016</v>
      </c>
      <c r="B54" s="72" t="s">
        <v>131</v>
      </c>
      <c r="C54" s="73" t="s">
        <v>132</v>
      </c>
      <c r="D54" s="74" t="str">
        <f t="shared" si="1"/>
        <v>jan/2016</v>
      </c>
      <c r="E54" s="53">
        <v>42388</v>
      </c>
      <c r="F54" s="75" t="s">
        <v>270</v>
      </c>
      <c r="G54" s="72"/>
      <c r="H54" s="49" t="s">
        <v>271</v>
      </c>
      <c r="I54" s="49" t="s">
        <v>138</v>
      </c>
      <c r="J54" s="76">
        <v>-2450</v>
      </c>
      <c r="K54" s="83" t="str">
        <f>IFERROR(IFERROR(VLOOKUP(I54,'DE-PARA'!B:D,3,0),VLOOKUP(I54,'DE-PARA'!C:D,2,0)),"NÃO ENCONTRADO")</f>
        <v>Serviços</v>
      </c>
      <c r="L54" s="50" t="str">
        <f>VLOOKUP(K54,'Base -Receita-Despesa'!$B:$P,1,FALSE)</f>
        <v>Serviços</v>
      </c>
    </row>
    <row r="55" spans="1:12" ht="15" customHeight="1" x14ac:dyDescent="0.3">
      <c r="A55" s="82" t="str">
        <f t="shared" si="0"/>
        <v>2016</v>
      </c>
      <c r="B55" s="72" t="s">
        <v>131</v>
      </c>
      <c r="C55" s="73" t="s">
        <v>132</v>
      </c>
      <c r="D55" s="74" t="str">
        <f t="shared" si="1"/>
        <v>jan/2016</v>
      </c>
      <c r="E55" s="53">
        <v>42388</v>
      </c>
      <c r="F55" s="75" t="s">
        <v>272</v>
      </c>
      <c r="G55" s="72"/>
      <c r="H55" s="49" t="s">
        <v>158</v>
      </c>
      <c r="I55" s="49" t="s">
        <v>159</v>
      </c>
      <c r="J55" s="76">
        <v>-250</v>
      </c>
      <c r="K55" s="83" t="str">
        <f>IFERROR(IFERROR(VLOOKUP(I55,'DE-PARA'!B:D,3,0),VLOOKUP(I55,'DE-PARA'!C:D,2,0)),"NÃO ENCONTRADO")</f>
        <v>Materiais</v>
      </c>
      <c r="L55" s="50" t="str">
        <f>VLOOKUP(K55,'Base -Receita-Despesa'!$B:$P,1,FALSE)</f>
        <v>Materiais</v>
      </c>
    </row>
    <row r="56" spans="1:12" ht="15" customHeight="1" x14ac:dyDescent="0.3">
      <c r="A56" s="82" t="str">
        <f t="shared" si="0"/>
        <v>2016</v>
      </c>
      <c r="B56" s="72" t="s">
        <v>131</v>
      </c>
      <c r="C56" s="73" t="s">
        <v>132</v>
      </c>
      <c r="D56" s="74" t="str">
        <f t="shared" si="1"/>
        <v>jan/2016</v>
      </c>
      <c r="E56" s="53">
        <v>42389</v>
      </c>
      <c r="F56" s="75" t="s">
        <v>273</v>
      </c>
      <c r="G56" s="72"/>
      <c r="H56" s="49" t="s">
        <v>175</v>
      </c>
      <c r="I56" s="49" t="s">
        <v>112</v>
      </c>
      <c r="J56" s="76">
        <v>-5950.19</v>
      </c>
      <c r="K56" s="83" t="str">
        <f>IFERROR(IFERROR(VLOOKUP(I56,'DE-PARA'!B:D,3,0),VLOOKUP(I56,'DE-PARA'!C:D,2,0)),"NÃO ENCONTRADO")</f>
        <v>Serviços</v>
      </c>
      <c r="L56" s="50" t="str">
        <f>VLOOKUP(K56,'Base -Receita-Despesa'!$B:$P,1,FALSE)</f>
        <v>Serviços</v>
      </c>
    </row>
    <row r="57" spans="1:12" ht="15" customHeight="1" x14ac:dyDescent="0.3">
      <c r="A57" s="82" t="str">
        <f t="shared" si="0"/>
        <v>2016</v>
      </c>
      <c r="B57" s="72" t="s">
        <v>131</v>
      </c>
      <c r="C57" s="73" t="s">
        <v>132</v>
      </c>
      <c r="D57" s="74" t="str">
        <f t="shared" si="1"/>
        <v>jan/2016</v>
      </c>
      <c r="E57" s="53">
        <v>42389</v>
      </c>
      <c r="F57" s="75" t="s">
        <v>274</v>
      </c>
      <c r="G57" s="72"/>
      <c r="H57" s="49" t="s">
        <v>175</v>
      </c>
      <c r="I57" s="49" t="s">
        <v>112</v>
      </c>
      <c r="J57" s="76">
        <v>-5950.19</v>
      </c>
      <c r="K57" s="83" t="str">
        <f>IFERROR(IFERROR(VLOOKUP(I57,'DE-PARA'!B:D,3,0),VLOOKUP(I57,'DE-PARA'!C:D,2,0)),"NÃO ENCONTRADO")</f>
        <v>Serviços</v>
      </c>
      <c r="L57" s="50" t="str">
        <f>VLOOKUP(K57,'Base -Receita-Despesa'!$B:$P,1,FALSE)</f>
        <v>Serviços</v>
      </c>
    </row>
    <row r="58" spans="1:12" ht="15" customHeight="1" x14ac:dyDescent="0.3">
      <c r="A58" s="82" t="str">
        <f t="shared" si="0"/>
        <v>2016</v>
      </c>
      <c r="B58" s="72" t="s">
        <v>131</v>
      </c>
      <c r="C58" s="73" t="s">
        <v>132</v>
      </c>
      <c r="D58" s="74" t="str">
        <f t="shared" si="1"/>
        <v>jan/2016</v>
      </c>
      <c r="E58" s="53">
        <v>42389</v>
      </c>
      <c r="F58" s="75" t="s">
        <v>275</v>
      </c>
      <c r="G58" s="72"/>
      <c r="H58" s="49" t="s">
        <v>175</v>
      </c>
      <c r="I58" s="49" t="s">
        <v>112</v>
      </c>
      <c r="J58" s="76">
        <v>-1919.42</v>
      </c>
      <c r="K58" s="83" t="str">
        <f>IFERROR(IFERROR(VLOOKUP(I58,'DE-PARA'!B:D,3,0),VLOOKUP(I58,'DE-PARA'!C:D,2,0)),"NÃO ENCONTRADO")</f>
        <v>Serviços</v>
      </c>
      <c r="L58" s="50" t="str">
        <f>VLOOKUP(K58,'Base -Receita-Despesa'!$B:$P,1,FALSE)</f>
        <v>Serviços</v>
      </c>
    </row>
    <row r="59" spans="1:12" ht="15" customHeight="1" x14ac:dyDescent="0.3">
      <c r="A59" s="82" t="str">
        <f t="shared" si="0"/>
        <v>2016</v>
      </c>
      <c r="B59" s="72" t="s">
        <v>131</v>
      </c>
      <c r="C59" s="73" t="s">
        <v>132</v>
      </c>
      <c r="D59" s="74" t="str">
        <f t="shared" si="1"/>
        <v>jan/2016</v>
      </c>
      <c r="E59" s="53">
        <v>42389</v>
      </c>
      <c r="F59" s="75" t="s">
        <v>197</v>
      </c>
      <c r="G59" s="72"/>
      <c r="H59" s="49" t="s">
        <v>154</v>
      </c>
      <c r="I59" s="49" t="s">
        <v>1497</v>
      </c>
      <c r="J59" s="76">
        <v>3670.01</v>
      </c>
      <c r="K59" s="83" t="str">
        <f>IFERROR(IFERROR(VLOOKUP(I59,'DE-PARA'!B:D,3,0),VLOOKUP(I59,'DE-PARA'!C:D,2,0)),"NÃO ENCONTRADO")</f>
        <v>Repasses Contrato de Gestão</v>
      </c>
      <c r="L59" s="50" t="str">
        <f>VLOOKUP(K59,'Base -Receita-Despesa'!$B:$P,1,FALSE)</f>
        <v>Repasses Contrato de Gestão</v>
      </c>
    </row>
    <row r="60" spans="1:12" ht="15" customHeight="1" x14ac:dyDescent="0.3">
      <c r="A60" s="82" t="str">
        <f t="shared" si="0"/>
        <v>2016</v>
      </c>
      <c r="B60" s="72" t="s">
        <v>131</v>
      </c>
      <c r="C60" s="73" t="s">
        <v>132</v>
      </c>
      <c r="D60" s="74" t="str">
        <f t="shared" si="1"/>
        <v>jan/2016</v>
      </c>
      <c r="E60" s="53">
        <v>42389</v>
      </c>
      <c r="F60" s="75" t="s">
        <v>197</v>
      </c>
      <c r="G60" s="72"/>
      <c r="H60" s="49" t="s">
        <v>154</v>
      </c>
      <c r="I60" s="49" t="s">
        <v>1497</v>
      </c>
      <c r="J60" s="76">
        <v>218935.91</v>
      </c>
      <c r="K60" s="83" t="str">
        <f>IFERROR(IFERROR(VLOOKUP(I60,'DE-PARA'!B:D,3,0),VLOOKUP(I60,'DE-PARA'!C:D,2,0)),"NÃO ENCONTRADO")</f>
        <v>Repasses Contrato de Gestão</v>
      </c>
      <c r="L60" s="50" t="str">
        <f>VLOOKUP(K60,'Base -Receita-Despesa'!$B:$P,1,FALSE)</f>
        <v>Repasses Contrato de Gestão</v>
      </c>
    </row>
    <row r="61" spans="1:12" ht="15" customHeight="1" x14ac:dyDescent="0.3">
      <c r="A61" s="82" t="str">
        <f t="shared" si="0"/>
        <v>2016</v>
      </c>
      <c r="B61" s="72" t="s">
        <v>131</v>
      </c>
      <c r="C61" s="73" t="s">
        <v>132</v>
      </c>
      <c r="D61" s="74" t="str">
        <f t="shared" si="1"/>
        <v>jan/2016</v>
      </c>
      <c r="E61" s="53">
        <v>42389</v>
      </c>
      <c r="F61" s="75" t="s">
        <v>197</v>
      </c>
      <c r="G61" s="72"/>
      <c r="H61" s="49" t="s">
        <v>154</v>
      </c>
      <c r="I61" s="49" t="s">
        <v>1497</v>
      </c>
      <c r="J61" s="76">
        <v>12951.3</v>
      </c>
      <c r="K61" s="83" t="str">
        <f>IFERROR(IFERROR(VLOOKUP(I61,'DE-PARA'!B:D,3,0),VLOOKUP(I61,'DE-PARA'!C:D,2,0)),"NÃO ENCONTRADO")</f>
        <v>Repasses Contrato de Gestão</v>
      </c>
      <c r="L61" s="50" t="str">
        <f>VLOOKUP(K61,'Base -Receita-Despesa'!$B:$P,1,FALSE)</f>
        <v>Repasses Contrato de Gestão</v>
      </c>
    </row>
    <row r="62" spans="1:12" ht="15" customHeight="1" x14ac:dyDescent="0.3">
      <c r="A62" s="82" t="str">
        <f t="shared" si="0"/>
        <v>2016</v>
      </c>
      <c r="B62" s="72" t="s">
        <v>131</v>
      </c>
      <c r="C62" s="73" t="s">
        <v>132</v>
      </c>
      <c r="D62" s="74" t="str">
        <f t="shared" si="1"/>
        <v>jan/2016</v>
      </c>
      <c r="E62" s="53">
        <v>42389</v>
      </c>
      <c r="F62" s="75" t="s">
        <v>263</v>
      </c>
      <c r="G62" s="72"/>
      <c r="H62" s="49" t="s">
        <v>158</v>
      </c>
      <c r="I62" s="49" t="s">
        <v>159</v>
      </c>
      <c r="J62" s="76">
        <v>-1037.1300000000001</v>
      </c>
      <c r="K62" s="83" t="str">
        <f>IFERROR(IFERROR(VLOOKUP(I62,'DE-PARA'!B:D,3,0),VLOOKUP(I62,'DE-PARA'!C:D,2,0)),"NÃO ENCONTRADO")</f>
        <v>Materiais</v>
      </c>
      <c r="L62" s="50" t="str">
        <f>VLOOKUP(K62,'Base -Receita-Despesa'!$B:$P,1,FALSE)</f>
        <v>Materiais</v>
      </c>
    </row>
    <row r="63" spans="1:12" ht="15" customHeight="1" x14ac:dyDescent="0.3">
      <c r="A63" s="82" t="str">
        <f t="shared" si="0"/>
        <v>2016</v>
      </c>
      <c r="B63" s="72" t="s">
        <v>131</v>
      </c>
      <c r="C63" s="73" t="s">
        <v>132</v>
      </c>
      <c r="D63" s="74" t="str">
        <f t="shared" si="1"/>
        <v>jan/2016</v>
      </c>
      <c r="E63" s="53">
        <v>42389</v>
      </c>
      <c r="F63" s="75" t="s">
        <v>136</v>
      </c>
      <c r="G63" s="72"/>
      <c r="H63" s="49" t="s">
        <v>149</v>
      </c>
      <c r="I63" s="49" t="s">
        <v>129</v>
      </c>
      <c r="J63" s="76">
        <v>-7.85</v>
      </c>
      <c r="K63" s="83" t="str">
        <f>IFERROR(IFERROR(VLOOKUP(I63,'DE-PARA'!B:D,3,0),VLOOKUP(I63,'DE-PARA'!C:D,2,0)),"NÃO ENCONTRADO")</f>
        <v>Outras Saídas</v>
      </c>
      <c r="L63" s="50" t="str">
        <f>VLOOKUP(K63,'Base -Receita-Despesa'!$B:$P,1,FALSE)</f>
        <v>Outras Saídas</v>
      </c>
    </row>
    <row r="64" spans="1:12" ht="15" customHeight="1" x14ac:dyDescent="0.3">
      <c r="A64" s="82" t="str">
        <f t="shared" si="0"/>
        <v>2016</v>
      </c>
      <c r="B64" s="72" t="s">
        <v>131</v>
      </c>
      <c r="C64" s="73" t="s">
        <v>132</v>
      </c>
      <c r="D64" s="74" t="str">
        <f t="shared" si="1"/>
        <v>jan/2016</v>
      </c>
      <c r="E64" s="53">
        <v>42389</v>
      </c>
      <c r="F64" s="75" t="s">
        <v>276</v>
      </c>
      <c r="G64" s="72"/>
      <c r="H64" s="49" t="s">
        <v>178</v>
      </c>
      <c r="I64" s="49" t="s">
        <v>110</v>
      </c>
      <c r="J64" s="76">
        <v>-41.4</v>
      </c>
      <c r="K64" s="83" t="str">
        <f>IFERROR(IFERROR(VLOOKUP(I64,'DE-PARA'!B:D,3,0),VLOOKUP(I64,'DE-PARA'!C:D,2,0)),"NÃO ENCONTRADO")</f>
        <v>Serviços</v>
      </c>
      <c r="L64" s="50" t="str">
        <f>VLOOKUP(K64,'Base -Receita-Despesa'!$B:$P,1,FALSE)</f>
        <v>Serviços</v>
      </c>
    </row>
    <row r="65" spans="1:12" ht="15" customHeight="1" x14ac:dyDescent="0.3">
      <c r="A65" s="82" t="str">
        <f t="shared" si="0"/>
        <v>2016</v>
      </c>
      <c r="B65" s="72" t="s">
        <v>131</v>
      </c>
      <c r="C65" s="73" t="s">
        <v>132</v>
      </c>
      <c r="D65" s="74" t="str">
        <f t="shared" si="1"/>
        <v>jan/2016</v>
      </c>
      <c r="E65" s="53">
        <v>42389</v>
      </c>
      <c r="F65" s="75" t="s">
        <v>277</v>
      </c>
      <c r="G65" s="72"/>
      <c r="H65" s="49" t="s">
        <v>165</v>
      </c>
      <c r="I65" s="49" t="s">
        <v>113</v>
      </c>
      <c r="J65" s="76">
        <v>-10945</v>
      </c>
      <c r="K65" s="83" t="str">
        <f>IFERROR(IFERROR(VLOOKUP(I65,'DE-PARA'!B:D,3,0),VLOOKUP(I65,'DE-PARA'!C:D,2,0)),"NÃO ENCONTRADO")</f>
        <v>Serviços</v>
      </c>
      <c r="L65" s="50" t="str">
        <f>VLOOKUP(K65,'Base -Receita-Despesa'!$B:$P,1,FALSE)</f>
        <v>Serviços</v>
      </c>
    </row>
    <row r="66" spans="1:12" ht="15" customHeight="1" x14ac:dyDescent="0.3">
      <c r="A66" s="82" t="str">
        <f t="shared" si="0"/>
        <v>2016</v>
      </c>
      <c r="B66" s="72" t="s">
        <v>131</v>
      </c>
      <c r="C66" s="73" t="s">
        <v>132</v>
      </c>
      <c r="D66" s="74" t="str">
        <f t="shared" si="1"/>
        <v>jan/2016</v>
      </c>
      <c r="E66" s="53">
        <v>42389</v>
      </c>
      <c r="F66" s="75" t="s">
        <v>278</v>
      </c>
      <c r="G66" s="72"/>
      <c r="H66" s="49" t="s">
        <v>165</v>
      </c>
      <c r="I66" s="49" t="s">
        <v>113</v>
      </c>
      <c r="J66" s="76">
        <v>-995</v>
      </c>
      <c r="K66" s="83" t="str">
        <f>IFERROR(IFERROR(VLOOKUP(I66,'DE-PARA'!B:D,3,0),VLOOKUP(I66,'DE-PARA'!C:D,2,0)),"NÃO ENCONTRADO")</f>
        <v>Serviços</v>
      </c>
      <c r="L66" s="50" t="str">
        <f>VLOOKUP(K66,'Base -Receita-Despesa'!$B:$P,1,FALSE)</f>
        <v>Serviços</v>
      </c>
    </row>
    <row r="67" spans="1:12" ht="15" customHeight="1" x14ac:dyDescent="0.3">
      <c r="A67" s="82" t="str">
        <f t="shared" si="0"/>
        <v>2016</v>
      </c>
      <c r="B67" s="72" t="s">
        <v>131</v>
      </c>
      <c r="C67" s="73" t="s">
        <v>132</v>
      </c>
      <c r="D67" s="74" t="str">
        <f t="shared" si="1"/>
        <v>jan/2016</v>
      </c>
      <c r="E67" s="53">
        <v>42389</v>
      </c>
      <c r="F67" s="75" t="s">
        <v>279</v>
      </c>
      <c r="G67" s="72"/>
      <c r="H67" s="49" t="s">
        <v>165</v>
      </c>
      <c r="I67" s="49" t="s">
        <v>113</v>
      </c>
      <c r="J67" s="76">
        <v>-4626.75</v>
      </c>
      <c r="K67" s="83" t="str">
        <f>IFERROR(IFERROR(VLOOKUP(I67,'DE-PARA'!B:D,3,0),VLOOKUP(I67,'DE-PARA'!C:D,2,0)),"NÃO ENCONTRADO")</f>
        <v>Serviços</v>
      </c>
      <c r="L67" s="50" t="str">
        <f>VLOOKUP(K67,'Base -Receita-Despesa'!$B:$P,1,FALSE)</f>
        <v>Serviços</v>
      </c>
    </row>
    <row r="68" spans="1:12" ht="15" customHeight="1" x14ac:dyDescent="0.3">
      <c r="A68" s="82" t="str">
        <f t="shared" ref="A68:A131" si="2">IF(K68="NÃO ENCONTRADO",0,RIGHT(D68,4))</f>
        <v>2016</v>
      </c>
      <c r="B68" s="72" t="s">
        <v>131</v>
      </c>
      <c r="C68" s="73" t="s">
        <v>132</v>
      </c>
      <c r="D68" s="74" t="str">
        <f t="shared" ref="D68:D131" si="3">TEXT(E68,"mmm/aaaa")</f>
        <v>jan/2016</v>
      </c>
      <c r="E68" s="53">
        <v>42389</v>
      </c>
      <c r="F68" s="75" t="s">
        <v>184</v>
      </c>
      <c r="G68" s="72"/>
      <c r="H68" s="49" t="s">
        <v>280</v>
      </c>
      <c r="I68" s="49" t="s">
        <v>186</v>
      </c>
      <c r="J68" s="76">
        <v>-121649.26</v>
      </c>
      <c r="K68" s="83" t="str">
        <f>IFERROR(IFERROR(VLOOKUP(I68,'DE-PARA'!B:D,3,0),VLOOKUP(I68,'DE-PARA'!C:D,2,0)),"NÃO ENCONTRADO")</f>
        <v>Encargos sobre Folha de Pagamento</v>
      </c>
      <c r="L68" s="50" t="str">
        <f>VLOOKUP(K68,'Base -Receita-Despesa'!$B:$P,1,FALSE)</f>
        <v>Encargos sobre Folha de Pagamento</v>
      </c>
    </row>
    <row r="69" spans="1:12" ht="15" customHeight="1" x14ac:dyDescent="0.3">
      <c r="A69" s="82" t="str">
        <f t="shared" si="2"/>
        <v>2016</v>
      </c>
      <c r="B69" s="72" t="s">
        <v>131</v>
      </c>
      <c r="C69" s="73" t="s">
        <v>132</v>
      </c>
      <c r="D69" s="74" t="str">
        <f t="shared" si="3"/>
        <v>jan/2016</v>
      </c>
      <c r="E69" s="53">
        <v>42389</v>
      </c>
      <c r="F69" s="75" t="s">
        <v>281</v>
      </c>
      <c r="G69" s="72"/>
      <c r="H69" s="49" t="s">
        <v>282</v>
      </c>
      <c r="I69" s="49" t="s">
        <v>110</v>
      </c>
      <c r="J69" s="76">
        <v>-10.77</v>
      </c>
      <c r="K69" s="83" t="str">
        <f>IFERROR(IFERROR(VLOOKUP(I69,'DE-PARA'!B:D,3,0),VLOOKUP(I69,'DE-PARA'!C:D,2,0)),"NÃO ENCONTRADO")</f>
        <v>Serviços</v>
      </c>
      <c r="L69" s="50" t="str">
        <f>VLOOKUP(K69,'Base -Receita-Despesa'!$B:$P,1,FALSE)</f>
        <v>Serviços</v>
      </c>
    </row>
    <row r="70" spans="1:12" ht="15" customHeight="1" x14ac:dyDescent="0.3">
      <c r="A70" s="82" t="str">
        <f t="shared" si="2"/>
        <v>2016</v>
      </c>
      <c r="B70" s="72" t="s">
        <v>131</v>
      </c>
      <c r="C70" s="73" t="s">
        <v>132</v>
      </c>
      <c r="D70" s="74" t="str">
        <f t="shared" si="3"/>
        <v>jan/2016</v>
      </c>
      <c r="E70" s="53">
        <v>42389</v>
      </c>
      <c r="F70" s="75" t="s">
        <v>283</v>
      </c>
      <c r="G70" s="72"/>
      <c r="H70" s="49" t="s">
        <v>284</v>
      </c>
      <c r="I70" s="49" t="s">
        <v>185</v>
      </c>
      <c r="J70" s="76">
        <v>-855.7</v>
      </c>
      <c r="K70" s="83" t="str">
        <f>IFERROR(IFERROR(VLOOKUP(I70,'DE-PARA'!B:D,3,0),VLOOKUP(I70,'DE-PARA'!C:D,2,0)),"NÃO ENCONTRADO")</f>
        <v>Encargos sobre Folha de Pagamento</v>
      </c>
      <c r="L70" s="50" t="str">
        <f>VLOOKUP(K70,'Base -Receita-Despesa'!$B:$P,1,FALSE)</f>
        <v>Encargos sobre Folha de Pagamento</v>
      </c>
    </row>
    <row r="71" spans="1:12" ht="15" customHeight="1" x14ac:dyDescent="0.3">
      <c r="A71" s="82" t="str">
        <f t="shared" si="2"/>
        <v>2016</v>
      </c>
      <c r="B71" s="72" t="s">
        <v>131</v>
      </c>
      <c r="C71" s="73" t="s">
        <v>132</v>
      </c>
      <c r="D71" s="74" t="str">
        <f t="shared" si="3"/>
        <v>jan/2016</v>
      </c>
      <c r="E71" s="53">
        <v>42389</v>
      </c>
      <c r="F71" s="75" t="s">
        <v>283</v>
      </c>
      <c r="G71" s="72"/>
      <c r="H71" s="49" t="s">
        <v>285</v>
      </c>
      <c r="I71" s="49" t="s">
        <v>185</v>
      </c>
      <c r="J71" s="76">
        <v>-35978.519999999997</v>
      </c>
      <c r="K71" s="83" t="str">
        <f>IFERROR(IFERROR(VLOOKUP(I71,'DE-PARA'!B:D,3,0),VLOOKUP(I71,'DE-PARA'!C:D,2,0)),"NÃO ENCONTRADO")</f>
        <v>Encargos sobre Folha de Pagamento</v>
      </c>
      <c r="L71" s="50" t="str">
        <f>VLOOKUP(K71,'Base -Receita-Despesa'!$B:$P,1,FALSE)</f>
        <v>Encargos sobre Folha de Pagamento</v>
      </c>
    </row>
    <row r="72" spans="1:12" ht="15" customHeight="1" x14ac:dyDescent="0.3">
      <c r="A72" s="82" t="str">
        <f t="shared" si="2"/>
        <v>2016</v>
      </c>
      <c r="B72" s="72" t="s">
        <v>131</v>
      </c>
      <c r="C72" s="73" t="s">
        <v>132</v>
      </c>
      <c r="D72" s="74" t="str">
        <f t="shared" si="3"/>
        <v>jan/2016</v>
      </c>
      <c r="E72" s="53">
        <v>42389</v>
      </c>
      <c r="F72" s="75" t="s">
        <v>283</v>
      </c>
      <c r="G72" s="72"/>
      <c r="H72" s="49" t="s">
        <v>285</v>
      </c>
      <c r="I72" s="49" t="s">
        <v>185</v>
      </c>
      <c r="J72" s="76">
        <v>-562.51</v>
      </c>
      <c r="K72" s="83" t="str">
        <f>IFERROR(IFERROR(VLOOKUP(I72,'DE-PARA'!B:D,3,0),VLOOKUP(I72,'DE-PARA'!C:D,2,0)),"NÃO ENCONTRADO")</f>
        <v>Encargos sobre Folha de Pagamento</v>
      </c>
      <c r="L72" s="50" t="str">
        <f>VLOOKUP(K72,'Base -Receita-Despesa'!$B:$P,1,FALSE)</f>
        <v>Encargos sobre Folha de Pagamento</v>
      </c>
    </row>
    <row r="73" spans="1:12" ht="15" customHeight="1" x14ac:dyDescent="0.3">
      <c r="A73" s="82" t="str">
        <f t="shared" si="2"/>
        <v>2016</v>
      </c>
      <c r="B73" s="72" t="s">
        <v>131</v>
      </c>
      <c r="C73" s="73" t="s">
        <v>132</v>
      </c>
      <c r="D73" s="74" t="str">
        <f t="shared" si="3"/>
        <v>jan/2016</v>
      </c>
      <c r="E73" s="53">
        <v>42389</v>
      </c>
      <c r="F73" s="75" t="s">
        <v>283</v>
      </c>
      <c r="G73" s="72"/>
      <c r="H73" s="49" t="s">
        <v>286</v>
      </c>
      <c r="I73" s="49" t="s">
        <v>185</v>
      </c>
      <c r="J73" s="76">
        <v>-839.64</v>
      </c>
      <c r="K73" s="83" t="str">
        <f>IFERROR(IFERROR(VLOOKUP(I73,'DE-PARA'!B:D,3,0),VLOOKUP(I73,'DE-PARA'!C:D,2,0)),"NÃO ENCONTRADO")</f>
        <v>Encargos sobre Folha de Pagamento</v>
      </c>
      <c r="L73" s="50" t="str">
        <f>VLOOKUP(K73,'Base -Receita-Despesa'!$B:$P,1,FALSE)</f>
        <v>Encargos sobre Folha de Pagamento</v>
      </c>
    </row>
    <row r="74" spans="1:12" ht="15" customHeight="1" x14ac:dyDescent="0.3">
      <c r="A74" s="82" t="str">
        <f t="shared" si="2"/>
        <v>2016</v>
      </c>
      <c r="B74" s="72" t="s">
        <v>131</v>
      </c>
      <c r="C74" s="73" t="s">
        <v>132</v>
      </c>
      <c r="D74" s="74" t="str">
        <f t="shared" si="3"/>
        <v>jan/2016</v>
      </c>
      <c r="E74" s="53">
        <v>42389</v>
      </c>
      <c r="F74" s="75" t="s">
        <v>283</v>
      </c>
      <c r="G74" s="72"/>
      <c r="H74" s="49" t="s">
        <v>286</v>
      </c>
      <c r="I74" s="49" t="s">
        <v>185</v>
      </c>
      <c r="J74" s="76">
        <v>-23990.31</v>
      </c>
      <c r="K74" s="83" t="str">
        <f>IFERROR(IFERROR(VLOOKUP(I74,'DE-PARA'!B:D,3,0),VLOOKUP(I74,'DE-PARA'!C:D,2,0)),"NÃO ENCONTRADO")</f>
        <v>Encargos sobre Folha de Pagamento</v>
      </c>
      <c r="L74" s="50" t="str">
        <f>VLOOKUP(K74,'Base -Receita-Despesa'!$B:$P,1,FALSE)</f>
        <v>Encargos sobre Folha de Pagamento</v>
      </c>
    </row>
    <row r="75" spans="1:12" ht="15" customHeight="1" x14ac:dyDescent="0.3">
      <c r="A75" s="82" t="str">
        <f t="shared" si="2"/>
        <v>2016</v>
      </c>
      <c r="B75" s="72" t="s">
        <v>131</v>
      </c>
      <c r="C75" s="73" t="s">
        <v>132</v>
      </c>
      <c r="D75" s="74" t="str">
        <f t="shared" si="3"/>
        <v>jan/2016</v>
      </c>
      <c r="E75" s="53">
        <v>42389</v>
      </c>
      <c r="F75" s="75" t="s">
        <v>283</v>
      </c>
      <c r="G75" s="72"/>
      <c r="H75" s="49" t="s">
        <v>287</v>
      </c>
      <c r="I75" s="49" t="s">
        <v>185</v>
      </c>
      <c r="J75" s="76">
        <v>-305</v>
      </c>
      <c r="K75" s="83" t="str">
        <f>IFERROR(IFERROR(VLOOKUP(I75,'DE-PARA'!B:D,3,0),VLOOKUP(I75,'DE-PARA'!C:D,2,0)),"NÃO ENCONTRADO")</f>
        <v>Encargos sobre Folha de Pagamento</v>
      </c>
      <c r="L75" s="50" t="str">
        <f>VLOOKUP(K75,'Base -Receita-Despesa'!$B:$P,1,FALSE)</f>
        <v>Encargos sobre Folha de Pagamento</v>
      </c>
    </row>
    <row r="76" spans="1:12" ht="15" customHeight="1" x14ac:dyDescent="0.3">
      <c r="A76" s="82" t="str">
        <f t="shared" si="2"/>
        <v>2016</v>
      </c>
      <c r="B76" s="72" t="s">
        <v>131</v>
      </c>
      <c r="C76" s="73" t="s">
        <v>132</v>
      </c>
      <c r="D76" s="74" t="str">
        <f t="shared" si="3"/>
        <v>jan/2016</v>
      </c>
      <c r="E76" s="53">
        <v>42389</v>
      </c>
      <c r="F76" s="75" t="s">
        <v>288</v>
      </c>
      <c r="G76" s="72"/>
      <c r="H76" s="49" t="s">
        <v>179</v>
      </c>
      <c r="I76" s="49" t="s">
        <v>180</v>
      </c>
      <c r="J76" s="76">
        <v>-4389</v>
      </c>
      <c r="K76" s="83" t="str">
        <f>IFERROR(IFERROR(VLOOKUP(I76,'DE-PARA'!B:D,3,0),VLOOKUP(I76,'DE-PARA'!C:D,2,0)),"NÃO ENCONTRADO")</f>
        <v>Serviços</v>
      </c>
      <c r="L76" s="50" t="str">
        <f>VLOOKUP(K76,'Base -Receita-Despesa'!$B:$P,1,FALSE)</f>
        <v>Serviços</v>
      </c>
    </row>
    <row r="77" spans="1:12" ht="15" customHeight="1" x14ac:dyDescent="0.3">
      <c r="A77" s="82" t="str">
        <f t="shared" si="2"/>
        <v>2016</v>
      </c>
      <c r="B77" s="72" t="s">
        <v>131</v>
      </c>
      <c r="C77" s="73" t="s">
        <v>132</v>
      </c>
      <c r="D77" s="74" t="str">
        <f t="shared" si="3"/>
        <v>jan/2016</v>
      </c>
      <c r="E77" s="53">
        <v>42389</v>
      </c>
      <c r="F77" s="75" t="s">
        <v>289</v>
      </c>
      <c r="G77" s="72"/>
      <c r="H77" s="49" t="s">
        <v>290</v>
      </c>
      <c r="I77" s="49" t="s">
        <v>144</v>
      </c>
      <c r="J77" s="76">
        <v>-1778.46</v>
      </c>
      <c r="K77" s="83" t="str">
        <f>IFERROR(IFERROR(VLOOKUP(I77,'DE-PARA'!B:D,3,0),VLOOKUP(I77,'DE-PARA'!C:D,2,0)),"NÃO ENCONTRADO")</f>
        <v>Concessionárias (água, luz e telefone)</v>
      </c>
      <c r="L77" s="50" t="str">
        <f>VLOOKUP(K77,'Base -Receita-Despesa'!$B:$P,1,FALSE)</f>
        <v>Concessionárias (água, luz e telefone)</v>
      </c>
    </row>
    <row r="78" spans="1:12" ht="15" customHeight="1" x14ac:dyDescent="0.3">
      <c r="A78" s="82" t="str">
        <f t="shared" si="2"/>
        <v>2016</v>
      </c>
      <c r="B78" s="72" t="s">
        <v>131</v>
      </c>
      <c r="C78" s="73" t="s">
        <v>132</v>
      </c>
      <c r="D78" s="74" t="str">
        <f t="shared" si="3"/>
        <v>jan/2016</v>
      </c>
      <c r="E78" s="53">
        <v>42389</v>
      </c>
      <c r="F78" s="75" t="s">
        <v>261</v>
      </c>
      <c r="G78" s="72"/>
      <c r="H78" s="49" t="s">
        <v>291</v>
      </c>
      <c r="I78" s="49" t="s">
        <v>144</v>
      </c>
      <c r="J78" s="76">
        <v>-2485.6</v>
      </c>
      <c r="K78" s="83" t="str">
        <f>IFERROR(IFERROR(VLOOKUP(I78,'DE-PARA'!B:D,3,0),VLOOKUP(I78,'DE-PARA'!C:D,2,0)),"NÃO ENCONTRADO")</f>
        <v>Concessionárias (água, luz e telefone)</v>
      </c>
      <c r="L78" s="50" t="str">
        <f>VLOOKUP(K78,'Base -Receita-Despesa'!$B:$P,1,FALSE)</f>
        <v>Concessionárias (água, luz e telefone)</v>
      </c>
    </row>
    <row r="79" spans="1:12" ht="15" customHeight="1" x14ac:dyDescent="0.3">
      <c r="A79" s="82" t="str">
        <f t="shared" si="2"/>
        <v>2016</v>
      </c>
      <c r="B79" s="72" t="s">
        <v>131</v>
      </c>
      <c r="C79" s="73" t="s">
        <v>132</v>
      </c>
      <c r="D79" s="74" t="str">
        <f t="shared" si="3"/>
        <v>jan/2016</v>
      </c>
      <c r="E79" s="53">
        <v>42389</v>
      </c>
      <c r="F79" s="75" t="s">
        <v>261</v>
      </c>
      <c r="G79" s="72"/>
      <c r="H79" s="49" t="s">
        <v>292</v>
      </c>
      <c r="I79" s="49" t="s">
        <v>144</v>
      </c>
      <c r="J79" s="76">
        <v>-1337.42</v>
      </c>
      <c r="K79" s="83" t="str">
        <f>IFERROR(IFERROR(VLOOKUP(I79,'DE-PARA'!B:D,3,0),VLOOKUP(I79,'DE-PARA'!C:D,2,0)),"NÃO ENCONTRADO")</f>
        <v>Concessionárias (água, luz e telefone)</v>
      </c>
      <c r="L79" s="50" t="str">
        <f>VLOOKUP(K79,'Base -Receita-Despesa'!$B:$P,1,FALSE)</f>
        <v>Concessionárias (água, luz e telefone)</v>
      </c>
    </row>
    <row r="80" spans="1:12" ht="15" customHeight="1" x14ac:dyDescent="0.3">
      <c r="A80" s="82" t="str">
        <f t="shared" si="2"/>
        <v>2016</v>
      </c>
      <c r="B80" s="72" t="s">
        <v>131</v>
      </c>
      <c r="C80" s="73" t="s">
        <v>132</v>
      </c>
      <c r="D80" s="74" t="str">
        <f t="shared" si="3"/>
        <v>jan/2016</v>
      </c>
      <c r="E80" s="53">
        <v>42389</v>
      </c>
      <c r="F80" s="75" t="s">
        <v>293</v>
      </c>
      <c r="G80" s="72"/>
      <c r="H80" s="49" t="s">
        <v>294</v>
      </c>
      <c r="I80" s="49" t="s">
        <v>185</v>
      </c>
      <c r="J80" s="76">
        <v>-3670.01</v>
      </c>
      <c r="K80" s="83" t="str">
        <f>IFERROR(IFERROR(VLOOKUP(I80,'DE-PARA'!B:D,3,0),VLOOKUP(I80,'DE-PARA'!C:D,2,0)),"NÃO ENCONTRADO")</f>
        <v>Encargos sobre Folha de Pagamento</v>
      </c>
      <c r="L80" s="50" t="str">
        <f>VLOOKUP(K80,'Base -Receita-Despesa'!$B:$P,1,FALSE)</f>
        <v>Encargos sobre Folha de Pagamento</v>
      </c>
    </row>
    <row r="81" spans="1:12" ht="15" customHeight="1" x14ac:dyDescent="0.3">
      <c r="A81" s="82" t="str">
        <f t="shared" si="2"/>
        <v>2016</v>
      </c>
      <c r="B81" s="72" t="s">
        <v>131</v>
      </c>
      <c r="C81" s="73" t="s">
        <v>132</v>
      </c>
      <c r="D81" s="74" t="str">
        <f t="shared" si="3"/>
        <v>jan/2016</v>
      </c>
      <c r="E81" s="53">
        <v>42389</v>
      </c>
      <c r="F81" s="75" t="s">
        <v>293</v>
      </c>
      <c r="G81" s="72"/>
      <c r="H81" s="49" t="s">
        <v>295</v>
      </c>
      <c r="I81" s="49" t="s">
        <v>185</v>
      </c>
      <c r="J81" s="76">
        <v>-1527.57</v>
      </c>
      <c r="K81" s="83" t="str">
        <f>IFERROR(IFERROR(VLOOKUP(I81,'DE-PARA'!B:D,3,0),VLOOKUP(I81,'DE-PARA'!C:D,2,0)),"NÃO ENCONTRADO")</f>
        <v>Encargos sobre Folha de Pagamento</v>
      </c>
      <c r="L81" s="50" t="str">
        <f>VLOOKUP(K81,'Base -Receita-Despesa'!$B:$P,1,FALSE)</f>
        <v>Encargos sobre Folha de Pagamento</v>
      </c>
    </row>
    <row r="82" spans="1:12" ht="15" customHeight="1" x14ac:dyDescent="0.3">
      <c r="A82" s="82" t="str">
        <f t="shared" si="2"/>
        <v>2016</v>
      </c>
      <c r="B82" s="72" t="s">
        <v>131</v>
      </c>
      <c r="C82" s="73" t="s">
        <v>132</v>
      </c>
      <c r="D82" s="74" t="str">
        <f t="shared" si="3"/>
        <v>jan/2016</v>
      </c>
      <c r="E82" s="53">
        <v>42389</v>
      </c>
      <c r="F82" s="75" t="s">
        <v>296</v>
      </c>
      <c r="G82" s="72"/>
      <c r="H82" s="49" t="s">
        <v>182</v>
      </c>
      <c r="I82" s="49" t="s">
        <v>138</v>
      </c>
      <c r="J82" s="76">
        <v>-320.85000000000002</v>
      </c>
      <c r="K82" s="83" t="str">
        <f>IFERROR(IFERROR(VLOOKUP(I82,'DE-PARA'!B:D,3,0),VLOOKUP(I82,'DE-PARA'!C:D,2,0)),"NÃO ENCONTRADO")</f>
        <v>Serviços</v>
      </c>
      <c r="L82" s="50" t="str">
        <f>VLOOKUP(K82,'Base -Receita-Despesa'!$B:$P,1,FALSE)</f>
        <v>Serviços</v>
      </c>
    </row>
    <row r="83" spans="1:12" ht="15" customHeight="1" x14ac:dyDescent="0.3">
      <c r="A83" s="82" t="str">
        <f t="shared" si="2"/>
        <v>2016</v>
      </c>
      <c r="B83" s="72" t="s">
        <v>131</v>
      </c>
      <c r="C83" s="73" t="s">
        <v>132</v>
      </c>
      <c r="D83" s="74" t="str">
        <f t="shared" si="3"/>
        <v>jan/2016</v>
      </c>
      <c r="E83" s="53">
        <v>42389</v>
      </c>
      <c r="F83" s="75" t="s">
        <v>297</v>
      </c>
      <c r="G83" s="72"/>
      <c r="H83" s="49" t="s">
        <v>182</v>
      </c>
      <c r="I83" s="49" t="s">
        <v>138</v>
      </c>
      <c r="J83" s="76">
        <v>-103.5</v>
      </c>
      <c r="K83" s="83" t="str">
        <f>IFERROR(IFERROR(VLOOKUP(I83,'DE-PARA'!B:D,3,0),VLOOKUP(I83,'DE-PARA'!C:D,2,0)),"NÃO ENCONTRADO")</f>
        <v>Serviços</v>
      </c>
      <c r="L83" s="50" t="str">
        <f>VLOOKUP(K83,'Base -Receita-Despesa'!$B:$P,1,FALSE)</f>
        <v>Serviços</v>
      </c>
    </row>
    <row r="84" spans="1:12" ht="15" customHeight="1" x14ac:dyDescent="0.3">
      <c r="A84" s="82" t="str">
        <f t="shared" si="2"/>
        <v>2016</v>
      </c>
      <c r="B84" s="72" t="s">
        <v>131</v>
      </c>
      <c r="C84" s="73" t="s">
        <v>132</v>
      </c>
      <c r="D84" s="74" t="str">
        <f t="shared" si="3"/>
        <v>jan/2016</v>
      </c>
      <c r="E84" s="53">
        <v>42389</v>
      </c>
      <c r="F84" s="75" t="s">
        <v>298</v>
      </c>
      <c r="G84" s="72"/>
      <c r="H84" s="49" t="s">
        <v>170</v>
      </c>
      <c r="I84" s="49" t="s">
        <v>171</v>
      </c>
      <c r="J84" s="76">
        <v>-967.93</v>
      </c>
      <c r="K84" s="83" t="str">
        <f>IFERROR(IFERROR(VLOOKUP(I84,'DE-PARA'!B:D,3,0),VLOOKUP(I84,'DE-PARA'!C:D,2,0)),"NÃO ENCONTRADO")</f>
        <v>Serviços</v>
      </c>
      <c r="L84" s="50" t="str">
        <f>VLOOKUP(K84,'Base -Receita-Despesa'!$B:$P,1,FALSE)</f>
        <v>Serviços</v>
      </c>
    </row>
    <row r="85" spans="1:12" ht="15" customHeight="1" x14ac:dyDescent="0.3">
      <c r="A85" s="82" t="str">
        <f t="shared" si="2"/>
        <v>2016</v>
      </c>
      <c r="B85" s="72" t="s">
        <v>131</v>
      </c>
      <c r="C85" s="73" t="s">
        <v>132</v>
      </c>
      <c r="D85" s="74" t="str">
        <f t="shared" si="3"/>
        <v>jan/2016</v>
      </c>
      <c r="E85" s="53">
        <v>42389</v>
      </c>
      <c r="F85" s="75" t="s">
        <v>299</v>
      </c>
      <c r="G85" s="72"/>
      <c r="H85" s="49" t="s">
        <v>172</v>
      </c>
      <c r="I85" s="49" t="s">
        <v>173</v>
      </c>
      <c r="J85" s="76">
        <v>-2123</v>
      </c>
      <c r="K85" s="83" t="str">
        <f>IFERROR(IFERROR(VLOOKUP(I85,'DE-PARA'!B:D,3,0),VLOOKUP(I85,'DE-PARA'!C:D,2,0)),"NÃO ENCONTRADO")</f>
        <v>Serviços</v>
      </c>
      <c r="L85" s="50" t="str">
        <f>VLOOKUP(K85,'Base -Receita-Despesa'!$B:$P,1,FALSE)</f>
        <v>Serviços</v>
      </c>
    </row>
    <row r="86" spans="1:12" ht="15" customHeight="1" x14ac:dyDescent="0.3">
      <c r="A86" s="82" t="str">
        <f t="shared" si="2"/>
        <v>2016</v>
      </c>
      <c r="B86" s="72" t="s">
        <v>131</v>
      </c>
      <c r="C86" s="73" t="s">
        <v>132</v>
      </c>
      <c r="D86" s="74" t="str">
        <f t="shared" si="3"/>
        <v>jan/2016</v>
      </c>
      <c r="E86" s="53">
        <v>42389</v>
      </c>
      <c r="F86" s="75" t="s">
        <v>300</v>
      </c>
      <c r="G86" s="72"/>
      <c r="H86" s="49" t="s">
        <v>172</v>
      </c>
      <c r="I86" s="49" t="s">
        <v>173</v>
      </c>
      <c r="J86" s="76">
        <v>-659.65</v>
      </c>
      <c r="K86" s="83" t="str">
        <f>IFERROR(IFERROR(VLOOKUP(I86,'DE-PARA'!B:D,3,0),VLOOKUP(I86,'DE-PARA'!C:D,2,0)),"NÃO ENCONTRADO")</f>
        <v>Serviços</v>
      </c>
      <c r="L86" s="50" t="str">
        <f>VLOOKUP(K86,'Base -Receita-Despesa'!$B:$P,1,FALSE)</f>
        <v>Serviços</v>
      </c>
    </row>
    <row r="87" spans="1:12" ht="15" customHeight="1" x14ac:dyDescent="0.3">
      <c r="A87" s="82" t="str">
        <f t="shared" si="2"/>
        <v>2016</v>
      </c>
      <c r="B87" s="72" t="s">
        <v>131</v>
      </c>
      <c r="C87" s="73" t="s">
        <v>132</v>
      </c>
      <c r="D87" s="74" t="str">
        <f t="shared" si="3"/>
        <v>jan/2016</v>
      </c>
      <c r="E87" s="53">
        <v>42389</v>
      </c>
      <c r="F87" s="75" t="s">
        <v>301</v>
      </c>
      <c r="G87" s="72"/>
      <c r="H87" s="49" t="s">
        <v>172</v>
      </c>
      <c r="I87" s="49" t="s">
        <v>173</v>
      </c>
      <c r="J87" s="76">
        <v>-193</v>
      </c>
      <c r="K87" s="83" t="str">
        <f>IFERROR(IFERROR(VLOOKUP(I87,'DE-PARA'!B:D,3,0),VLOOKUP(I87,'DE-PARA'!C:D,2,0)),"NÃO ENCONTRADO")</f>
        <v>Serviços</v>
      </c>
      <c r="L87" s="50" t="str">
        <f>VLOOKUP(K87,'Base -Receita-Despesa'!$B:$P,1,FALSE)</f>
        <v>Serviços</v>
      </c>
    </row>
    <row r="88" spans="1:12" ht="15" customHeight="1" x14ac:dyDescent="0.3">
      <c r="A88" s="82" t="str">
        <f t="shared" si="2"/>
        <v>2016</v>
      </c>
      <c r="B88" s="72" t="s">
        <v>131</v>
      </c>
      <c r="C88" s="73" t="s">
        <v>132</v>
      </c>
      <c r="D88" s="74" t="str">
        <f t="shared" si="3"/>
        <v>jan/2016</v>
      </c>
      <c r="E88" s="53">
        <v>42389</v>
      </c>
      <c r="F88" s="75" t="s">
        <v>302</v>
      </c>
      <c r="G88" s="72"/>
      <c r="H88" s="49" t="s">
        <v>172</v>
      </c>
      <c r="I88" s="49" t="s">
        <v>173</v>
      </c>
      <c r="J88" s="76">
        <v>-141.86000000000001</v>
      </c>
      <c r="K88" s="83" t="str">
        <f>IFERROR(IFERROR(VLOOKUP(I88,'DE-PARA'!B:D,3,0),VLOOKUP(I88,'DE-PARA'!C:D,2,0)),"NÃO ENCONTRADO")</f>
        <v>Serviços</v>
      </c>
      <c r="L88" s="50" t="str">
        <f>VLOOKUP(K88,'Base -Receita-Despesa'!$B:$P,1,FALSE)</f>
        <v>Serviços</v>
      </c>
    </row>
    <row r="89" spans="1:12" ht="15" customHeight="1" x14ac:dyDescent="0.3">
      <c r="A89" s="82" t="str">
        <f t="shared" si="2"/>
        <v>2016</v>
      </c>
      <c r="B89" s="72" t="s">
        <v>131</v>
      </c>
      <c r="C89" s="73" t="s">
        <v>132</v>
      </c>
      <c r="D89" s="74" t="str">
        <f t="shared" si="3"/>
        <v>jan/2016</v>
      </c>
      <c r="E89" s="53">
        <v>42389</v>
      </c>
      <c r="F89" s="75" t="s">
        <v>303</v>
      </c>
      <c r="G89" s="72"/>
      <c r="H89" s="49" t="s">
        <v>172</v>
      </c>
      <c r="I89" s="49" t="s">
        <v>173</v>
      </c>
      <c r="J89" s="76">
        <v>-897.45</v>
      </c>
      <c r="K89" s="83" t="str">
        <f>IFERROR(IFERROR(VLOOKUP(I89,'DE-PARA'!B:D,3,0),VLOOKUP(I89,'DE-PARA'!C:D,2,0)),"NÃO ENCONTRADO")</f>
        <v>Serviços</v>
      </c>
      <c r="L89" s="50" t="str">
        <f>VLOOKUP(K89,'Base -Receita-Despesa'!$B:$P,1,FALSE)</f>
        <v>Serviços</v>
      </c>
    </row>
    <row r="90" spans="1:12" ht="15" customHeight="1" x14ac:dyDescent="0.3">
      <c r="A90" s="82" t="str">
        <f t="shared" si="2"/>
        <v>2016</v>
      </c>
      <c r="B90" s="72" t="s">
        <v>131</v>
      </c>
      <c r="C90" s="73" t="s">
        <v>132</v>
      </c>
      <c r="D90" s="74" t="str">
        <f t="shared" si="3"/>
        <v>jan/2016</v>
      </c>
      <c r="E90" s="53">
        <v>42389</v>
      </c>
      <c r="F90" s="75" t="s">
        <v>304</v>
      </c>
      <c r="G90" s="72"/>
      <c r="H90" s="49" t="s">
        <v>305</v>
      </c>
      <c r="I90" s="49" t="s">
        <v>138</v>
      </c>
      <c r="J90" s="76">
        <v>-51</v>
      </c>
      <c r="K90" s="83" t="str">
        <f>IFERROR(IFERROR(VLOOKUP(I90,'DE-PARA'!B:D,3,0),VLOOKUP(I90,'DE-PARA'!C:D,2,0)),"NÃO ENCONTRADO")</f>
        <v>Serviços</v>
      </c>
      <c r="L90" s="50" t="str">
        <f>VLOOKUP(K90,'Base -Receita-Despesa'!$B:$P,1,FALSE)</f>
        <v>Serviços</v>
      </c>
    </row>
    <row r="91" spans="1:12" ht="15" customHeight="1" x14ac:dyDescent="0.3">
      <c r="A91" s="82" t="str">
        <f t="shared" si="2"/>
        <v>2016</v>
      </c>
      <c r="B91" s="72" t="s">
        <v>249</v>
      </c>
      <c r="C91" s="73" t="s">
        <v>132</v>
      </c>
      <c r="D91" s="74" t="str">
        <f t="shared" si="3"/>
        <v>jan/2016</v>
      </c>
      <c r="E91" s="53">
        <v>42389</v>
      </c>
      <c r="F91" s="75"/>
      <c r="G91" s="72"/>
      <c r="H91" s="49"/>
      <c r="I91" s="49" t="s">
        <v>135</v>
      </c>
      <c r="J91" s="76">
        <v>-3739.87999999974</v>
      </c>
      <c r="K91" s="83" t="str">
        <f>IFERROR(IFERROR(VLOOKUP(I91,'DE-PARA'!B:D,3,0),VLOOKUP(I91,'DE-PARA'!C:D,2,0)),"NÃO ENCONTRADO")</f>
        <v>Pessoal</v>
      </c>
      <c r="L91" s="50" t="str">
        <f>VLOOKUP(K91,'Base -Receita-Despesa'!$B:$P,1,FALSE)</f>
        <v>Pessoal</v>
      </c>
    </row>
    <row r="92" spans="1:12" ht="15" customHeight="1" x14ac:dyDescent="0.3">
      <c r="A92" s="82" t="str">
        <f t="shared" si="2"/>
        <v>2016</v>
      </c>
      <c r="B92" s="72" t="s">
        <v>131</v>
      </c>
      <c r="C92" s="73" t="s">
        <v>132</v>
      </c>
      <c r="D92" s="74" t="str">
        <f t="shared" si="3"/>
        <v>jan/2016</v>
      </c>
      <c r="E92" s="53">
        <v>42390</v>
      </c>
      <c r="F92" s="75" t="s">
        <v>306</v>
      </c>
      <c r="G92" s="72"/>
      <c r="H92" s="49" t="s">
        <v>282</v>
      </c>
      <c r="I92" s="49" t="s">
        <v>110</v>
      </c>
      <c r="J92" s="76">
        <v>-1015.96</v>
      </c>
      <c r="K92" s="83" t="str">
        <f>IFERROR(IFERROR(VLOOKUP(I92,'DE-PARA'!B:D,3,0),VLOOKUP(I92,'DE-PARA'!C:D,2,0)),"NÃO ENCONTRADO")</f>
        <v>Serviços</v>
      </c>
      <c r="L92" s="50" t="str">
        <f>VLOOKUP(K92,'Base -Receita-Despesa'!$B:$P,1,FALSE)</f>
        <v>Serviços</v>
      </c>
    </row>
    <row r="93" spans="1:12" ht="15" customHeight="1" x14ac:dyDescent="0.3">
      <c r="A93" s="82" t="str">
        <f t="shared" si="2"/>
        <v>2016</v>
      </c>
      <c r="B93" s="72" t="s">
        <v>131</v>
      </c>
      <c r="C93" s="73" t="s">
        <v>132</v>
      </c>
      <c r="D93" s="74" t="str">
        <f t="shared" si="3"/>
        <v>jan/2016</v>
      </c>
      <c r="E93" s="53">
        <v>42390</v>
      </c>
      <c r="F93" s="75" t="s">
        <v>307</v>
      </c>
      <c r="G93" s="72"/>
      <c r="H93" s="49" t="s">
        <v>182</v>
      </c>
      <c r="I93" s="49" t="s">
        <v>138</v>
      </c>
      <c r="J93" s="76">
        <v>-6475.65</v>
      </c>
      <c r="K93" s="83" t="str">
        <f>IFERROR(IFERROR(VLOOKUP(I93,'DE-PARA'!B:D,3,0),VLOOKUP(I93,'DE-PARA'!C:D,2,0)),"NÃO ENCONTRADO")</f>
        <v>Serviços</v>
      </c>
      <c r="L93" s="50" t="str">
        <f>VLOOKUP(K93,'Base -Receita-Despesa'!$B:$P,1,FALSE)</f>
        <v>Serviços</v>
      </c>
    </row>
    <row r="94" spans="1:12" ht="15" customHeight="1" x14ac:dyDescent="0.3">
      <c r="A94" s="82" t="str">
        <f t="shared" si="2"/>
        <v>2016</v>
      </c>
      <c r="B94" s="72" t="s">
        <v>131</v>
      </c>
      <c r="C94" s="73" t="s">
        <v>132</v>
      </c>
      <c r="D94" s="74" t="str">
        <f t="shared" si="3"/>
        <v>jan/2016</v>
      </c>
      <c r="E94" s="53">
        <v>42390</v>
      </c>
      <c r="F94" s="75" t="s">
        <v>308</v>
      </c>
      <c r="G94" s="72"/>
      <c r="H94" s="49" t="s">
        <v>182</v>
      </c>
      <c r="I94" s="49" t="s">
        <v>138</v>
      </c>
      <c r="J94" s="76">
        <v>-6475.66</v>
      </c>
      <c r="K94" s="83" t="str">
        <f>IFERROR(IFERROR(VLOOKUP(I94,'DE-PARA'!B:D,3,0),VLOOKUP(I94,'DE-PARA'!C:D,2,0)),"NÃO ENCONTRADO")</f>
        <v>Serviços</v>
      </c>
      <c r="L94" s="50" t="str">
        <f>VLOOKUP(K94,'Base -Receita-Despesa'!$B:$P,1,FALSE)</f>
        <v>Serviços</v>
      </c>
    </row>
    <row r="95" spans="1:12" ht="15" customHeight="1" x14ac:dyDescent="0.3">
      <c r="A95" s="82" t="str">
        <f t="shared" si="2"/>
        <v>2016</v>
      </c>
      <c r="B95" s="72" t="s">
        <v>131</v>
      </c>
      <c r="C95" s="73" t="s">
        <v>132</v>
      </c>
      <c r="D95" s="74" t="str">
        <f t="shared" si="3"/>
        <v>jan/2016</v>
      </c>
      <c r="E95" s="53">
        <v>42390</v>
      </c>
      <c r="F95" s="75" t="s">
        <v>309</v>
      </c>
      <c r="G95" s="72"/>
      <c r="H95" s="49" t="s">
        <v>229</v>
      </c>
      <c r="I95" s="49" t="s">
        <v>159</v>
      </c>
      <c r="J95" s="76">
        <v>-483.5</v>
      </c>
      <c r="K95" s="83" t="str">
        <f>IFERROR(IFERROR(VLOOKUP(I95,'DE-PARA'!B:D,3,0),VLOOKUP(I95,'DE-PARA'!C:D,2,0)),"NÃO ENCONTRADO")</f>
        <v>Materiais</v>
      </c>
      <c r="L95" s="50" t="str">
        <f>VLOOKUP(K95,'Base -Receita-Despesa'!$B:$P,1,FALSE)</f>
        <v>Materiais</v>
      </c>
    </row>
    <row r="96" spans="1:12" ht="15" customHeight="1" x14ac:dyDescent="0.3">
      <c r="A96" s="82" t="str">
        <f t="shared" si="2"/>
        <v>2016</v>
      </c>
      <c r="B96" s="72" t="s">
        <v>131</v>
      </c>
      <c r="C96" s="73" t="s">
        <v>132</v>
      </c>
      <c r="D96" s="74" t="str">
        <f t="shared" si="3"/>
        <v>jan/2016</v>
      </c>
      <c r="E96" s="53">
        <v>42390</v>
      </c>
      <c r="F96" s="75" t="s">
        <v>310</v>
      </c>
      <c r="G96" s="72"/>
      <c r="H96" s="49" t="s">
        <v>229</v>
      </c>
      <c r="I96" s="49" t="s">
        <v>159</v>
      </c>
      <c r="J96" s="76">
        <v>-482.73</v>
      </c>
      <c r="K96" s="83" t="str">
        <f>IFERROR(IFERROR(VLOOKUP(I96,'DE-PARA'!B:D,3,0),VLOOKUP(I96,'DE-PARA'!C:D,2,0)),"NÃO ENCONTRADO")</f>
        <v>Materiais</v>
      </c>
      <c r="L96" s="50" t="str">
        <f>VLOOKUP(K96,'Base -Receita-Despesa'!$B:$P,1,FALSE)</f>
        <v>Materiais</v>
      </c>
    </row>
    <row r="97" spans="1:12" ht="15" customHeight="1" x14ac:dyDescent="0.3">
      <c r="A97" s="82" t="str">
        <f t="shared" si="2"/>
        <v>2016</v>
      </c>
      <c r="B97" s="72" t="s">
        <v>131</v>
      </c>
      <c r="C97" s="73" t="s">
        <v>132</v>
      </c>
      <c r="D97" s="74" t="str">
        <f t="shared" si="3"/>
        <v>jan/2016</v>
      </c>
      <c r="E97" s="53">
        <v>42390</v>
      </c>
      <c r="F97" s="75" t="s">
        <v>311</v>
      </c>
      <c r="G97" s="72"/>
      <c r="H97" s="49" t="s">
        <v>229</v>
      </c>
      <c r="I97" s="49" t="s">
        <v>159</v>
      </c>
      <c r="J97" s="76">
        <v>-680</v>
      </c>
      <c r="K97" s="83" t="str">
        <f>IFERROR(IFERROR(VLOOKUP(I97,'DE-PARA'!B:D,3,0),VLOOKUP(I97,'DE-PARA'!C:D,2,0)),"NÃO ENCONTRADO")</f>
        <v>Materiais</v>
      </c>
      <c r="L97" s="50" t="str">
        <f>VLOOKUP(K97,'Base -Receita-Despesa'!$B:$P,1,FALSE)</f>
        <v>Materiais</v>
      </c>
    </row>
    <row r="98" spans="1:12" ht="15" customHeight="1" x14ac:dyDescent="0.3">
      <c r="A98" s="82" t="str">
        <f t="shared" si="2"/>
        <v>2016</v>
      </c>
      <c r="B98" s="72" t="s">
        <v>131</v>
      </c>
      <c r="C98" s="73" t="s">
        <v>132</v>
      </c>
      <c r="D98" s="74" t="str">
        <f t="shared" si="3"/>
        <v>jan/2016</v>
      </c>
      <c r="E98" s="53">
        <v>42391</v>
      </c>
      <c r="F98" s="75" t="s">
        <v>312</v>
      </c>
      <c r="G98" s="72"/>
      <c r="H98" s="49" t="s">
        <v>313</v>
      </c>
      <c r="I98" s="49" t="s">
        <v>159</v>
      </c>
      <c r="J98" s="76">
        <v>-107.9</v>
      </c>
      <c r="K98" s="83" t="str">
        <f>IFERROR(IFERROR(VLOOKUP(I98,'DE-PARA'!B:D,3,0),VLOOKUP(I98,'DE-PARA'!C:D,2,0)),"NÃO ENCONTRADO")</f>
        <v>Materiais</v>
      </c>
      <c r="L98" s="50" t="str">
        <f>VLOOKUP(K98,'Base -Receita-Despesa'!$B:$P,1,FALSE)</f>
        <v>Materiais</v>
      </c>
    </row>
    <row r="99" spans="1:12" ht="15" customHeight="1" x14ac:dyDescent="0.3">
      <c r="A99" s="82" t="str">
        <f t="shared" si="2"/>
        <v>2016</v>
      </c>
      <c r="B99" s="72" t="s">
        <v>131</v>
      </c>
      <c r="C99" s="73" t="s">
        <v>132</v>
      </c>
      <c r="D99" s="74" t="str">
        <f t="shared" si="3"/>
        <v>jan/2016</v>
      </c>
      <c r="E99" s="53">
        <v>42391</v>
      </c>
      <c r="F99" s="75" t="s">
        <v>314</v>
      </c>
      <c r="G99" s="72"/>
      <c r="H99" s="49" t="s">
        <v>219</v>
      </c>
      <c r="I99" s="49" t="s">
        <v>159</v>
      </c>
      <c r="J99" s="76">
        <v>-4404.3599999999997</v>
      </c>
      <c r="K99" s="83" t="str">
        <f>IFERROR(IFERROR(VLOOKUP(I99,'DE-PARA'!B:D,3,0),VLOOKUP(I99,'DE-PARA'!C:D,2,0)),"NÃO ENCONTRADO")</f>
        <v>Materiais</v>
      </c>
      <c r="L99" s="50" t="str">
        <f>VLOOKUP(K99,'Base -Receita-Despesa'!$B:$P,1,FALSE)</f>
        <v>Materiais</v>
      </c>
    </row>
    <row r="100" spans="1:12" ht="15" customHeight="1" x14ac:dyDescent="0.3">
      <c r="A100" s="82" t="str">
        <f t="shared" si="2"/>
        <v>2016</v>
      </c>
      <c r="B100" s="72" t="s">
        <v>131</v>
      </c>
      <c r="C100" s="73" t="s">
        <v>132</v>
      </c>
      <c r="D100" s="74" t="str">
        <f t="shared" si="3"/>
        <v>jan/2016</v>
      </c>
      <c r="E100" s="53">
        <v>42391</v>
      </c>
      <c r="F100" s="75" t="s">
        <v>136</v>
      </c>
      <c r="G100" s="72"/>
      <c r="H100" s="49" t="s">
        <v>149</v>
      </c>
      <c r="I100" s="49" t="s">
        <v>129</v>
      </c>
      <c r="J100" s="76">
        <v>-7.85</v>
      </c>
      <c r="K100" s="83" t="str">
        <f>IFERROR(IFERROR(VLOOKUP(I100,'DE-PARA'!B:D,3,0),VLOOKUP(I100,'DE-PARA'!C:D,2,0)),"NÃO ENCONTRADO")</f>
        <v>Outras Saídas</v>
      </c>
      <c r="L100" s="50" t="str">
        <f>VLOOKUP(K100,'Base -Receita-Despesa'!$B:$P,1,FALSE)</f>
        <v>Outras Saídas</v>
      </c>
    </row>
    <row r="101" spans="1:12" ht="15" customHeight="1" x14ac:dyDescent="0.3">
      <c r="A101" s="82" t="str">
        <f t="shared" si="2"/>
        <v>2016</v>
      </c>
      <c r="B101" s="72" t="s">
        <v>131</v>
      </c>
      <c r="C101" s="73" t="s">
        <v>132</v>
      </c>
      <c r="D101" s="74" t="str">
        <f t="shared" si="3"/>
        <v>jan/2016</v>
      </c>
      <c r="E101" s="53">
        <v>42391</v>
      </c>
      <c r="F101" s="75" t="s">
        <v>315</v>
      </c>
      <c r="G101" s="72"/>
      <c r="H101" s="49" t="s">
        <v>316</v>
      </c>
      <c r="I101" s="49" t="s">
        <v>317</v>
      </c>
      <c r="J101" s="76">
        <v>-441.5</v>
      </c>
      <c r="K101" s="83" t="str">
        <f>IFERROR(IFERROR(VLOOKUP(I101,'DE-PARA'!B:D,3,0),VLOOKUP(I101,'DE-PARA'!C:D,2,0)),"NÃO ENCONTRADO")</f>
        <v>Investimentos</v>
      </c>
      <c r="L101" s="50" t="str">
        <f>VLOOKUP(K101,'Base -Receita-Despesa'!$B:$P,1,FALSE)</f>
        <v>Investimentos</v>
      </c>
    </row>
    <row r="102" spans="1:12" ht="15" customHeight="1" x14ac:dyDescent="0.3">
      <c r="A102" s="82" t="str">
        <f t="shared" si="2"/>
        <v>2016</v>
      </c>
      <c r="B102" s="72" t="s">
        <v>131</v>
      </c>
      <c r="C102" s="73" t="s">
        <v>132</v>
      </c>
      <c r="D102" s="74" t="str">
        <f t="shared" si="3"/>
        <v>jan/2016</v>
      </c>
      <c r="E102" s="53">
        <v>42394</v>
      </c>
      <c r="F102" s="75" t="s">
        <v>139</v>
      </c>
      <c r="G102" s="72"/>
      <c r="H102" s="49" t="s">
        <v>318</v>
      </c>
      <c r="I102" s="49" t="s">
        <v>159</v>
      </c>
      <c r="J102" s="76">
        <v>107.9</v>
      </c>
      <c r="K102" s="83" t="str">
        <f>IFERROR(IFERROR(VLOOKUP(I102,'DE-PARA'!B:D,3,0),VLOOKUP(I102,'DE-PARA'!C:D,2,0)),"NÃO ENCONTRADO")</f>
        <v>Materiais</v>
      </c>
      <c r="L102" s="50" t="str">
        <f>VLOOKUP(K102,'Base -Receita-Despesa'!$B:$P,1,FALSE)</f>
        <v>Materiais</v>
      </c>
    </row>
    <row r="103" spans="1:12" ht="15" customHeight="1" x14ac:dyDescent="0.3">
      <c r="A103" s="82" t="str">
        <f t="shared" si="2"/>
        <v>2016</v>
      </c>
      <c r="B103" s="72" t="s">
        <v>131</v>
      </c>
      <c r="C103" s="73" t="s">
        <v>132</v>
      </c>
      <c r="D103" s="74" t="str">
        <f t="shared" si="3"/>
        <v>jan/2016</v>
      </c>
      <c r="E103" s="53">
        <v>42394</v>
      </c>
      <c r="F103" s="75" t="s">
        <v>136</v>
      </c>
      <c r="G103" s="72"/>
      <c r="H103" s="49" t="s">
        <v>236</v>
      </c>
      <c r="I103" s="49" t="s">
        <v>129</v>
      </c>
      <c r="J103" s="76">
        <v>-25.3</v>
      </c>
      <c r="K103" s="83" t="str">
        <f>IFERROR(IFERROR(VLOOKUP(I103,'DE-PARA'!B:D,3,0),VLOOKUP(I103,'DE-PARA'!C:D,2,0)),"NÃO ENCONTRADO")</f>
        <v>Outras Saídas</v>
      </c>
      <c r="L103" s="50" t="str">
        <f>VLOOKUP(K103,'Base -Receita-Despesa'!$B:$P,1,FALSE)</f>
        <v>Outras Saídas</v>
      </c>
    </row>
    <row r="104" spans="1:12" ht="15" customHeight="1" x14ac:dyDescent="0.3">
      <c r="A104" s="82" t="str">
        <f t="shared" si="2"/>
        <v>2016</v>
      </c>
      <c r="B104" s="72" t="s">
        <v>131</v>
      </c>
      <c r="C104" s="73" t="s">
        <v>132</v>
      </c>
      <c r="D104" s="74" t="str">
        <f t="shared" si="3"/>
        <v>jan/2016</v>
      </c>
      <c r="E104" s="53">
        <v>42395</v>
      </c>
      <c r="F104" s="75" t="s">
        <v>139</v>
      </c>
      <c r="G104" s="72"/>
      <c r="H104" s="49" t="s">
        <v>162</v>
      </c>
      <c r="I104" s="49" t="s">
        <v>192</v>
      </c>
      <c r="J104" s="76">
        <v>289.99</v>
      </c>
      <c r="K104" s="83" t="str">
        <f>IFERROR(IFERROR(VLOOKUP(I104,'DE-PARA'!B:D,3,0),VLOOKUP(I104,'DE-PARA'!C:D,2,0)),"NÃO ENCONTRADO")</f>
        <v>Materiais</v>
      </c>
      <c r="L104" s="50" t="str">
        <f>VLOOKUP(K104,'Base -Receita-Despesa'!$B:$P,1,FALSE)</f>
        <v>Materiais</v>
      </c>
    </row>
    <row r="105" spans="1:12" ht="15" customHeight="1" x14ac:dyDescent="0.3">
      <c r="A105" s="82" t="str">
        <f t="shared" si="2"/>
        <v>2016</v>
      </c>
      <c r="B105" s="72" t="s">
        <v>131</v>
      </c>
      <c r="C105" s="73" t="s">
        <v>132</v>
      </c>
      <c r="D105" s="74" t="str">
        <f t="shared" si="3"/>
        <v>jan/2016</v>
      </c>
      <c r="E105" s="53">
        <v>42395</v>
      </c>
      <c r="F105" s="75" t="s">
        <v>136</v>
      </c>
      <c r="G105" s="72"/>
      <c r="H105" s="49" t="s">
        <v>149</v>
      </c>
      <c r="I105" s="49" t="s">
        <v>129</v>
      </c>
      <c r="J105" s="76">
        <v>-7.85</v>
      </c>
      <c r="K105" s="83" t="str">
        <f>IFERROR(IFERROR(VLOOKUP(I105,'DE-PARA'!B:D,3,0),VLOOKUP(I105,'DE-PARA'!C:D,2,0)),"NÃO ENCONTRADO")</f>
        <v>Outras Saídas</v>
      </c>
      <c r="L105" s="50" t="str">
        <f>VLOOKUP(K105,'Base -Receita-Despesa'!$B:$P,1,FALSE)</f>
        <v>Outras Saídas</v>
      </c>
    </row>
    <row r="106" spans="1:12" ht="15" customHeight="1" x14ac:dyDescent="0.3">
      <c r="A106" s="82" t="str">
        <f t="shared" si="2"/>
        <v>2016</v>
      </c>
      <c r="B106" s="72" t="s">
        <v>131</v>
      </c>
      <c r="C106" s="73" t="s">
        <v>132</v>
      </c>
      <c r="D106" s="74" t="str">
        <f t="shared" si="3"/>
        <v>jan/2016</v>
      </c>
      <c r="E106" s="53">
        <v>42395</v>
      </c>
      <c r="F106" s="75" t="s">
        <v>139</v>
      </c>
      <c r="G106" s="72"/>
      <c r="H106" s="49" t="s">
        <v>163</v>
      </c>
      <c r="I106" s="49" t="s">
        <v>192</v>
      </c>
      <c r="J106" s="76">
        <v>-9585</v>
      </c>
      <c r="K106" s="83" t="str">
        <f>IFERROR(IFERROR(VLOOKUP(I106,'DE-PARA'!B:D,3,0),VLOOKUP(I106,'DE-PARA'!C:D,2,0)),"NÃO ENCONTRADO")</f>
        <v>Materiais</v>
      </c>
      <c r="L106" s="50" t="str">
        <f>VLOOKUP(K106,'Base -Receita-Despesa'!$B:$P,1,FALSE)</f>
        <v>Materiais</v>
      </c>
    </row>
    <row r="107" spans="1:12" ht="15" customHeight="1" x14ac:dyDescent="0.3">
      <c r="A107" s="82" t="str">
        <f t="shared" si="2"/>
        <v>2016</v>
      </c>
      <c r="B107" s="72" t="s">
        <v>131</v>
      </c>
      <c r="C107" s="73" t="s">
        <v>132</v>
      </c>
      <c r="D107" s="74" t="str">
        <f t="shared" si="3"/>
        <v>jan/2016</v>
      </c>
      <c r="E107" s="53">
        <v>42395</v>
      </c>
      <c r="F107" s="75" t="s">
        <v>139</v>
      </c>
      <c r="G107" s="72"/>
      <c r="H107" s="49" t="s">
        <v>163</v>
      </c>
      <c r="I107" s="49" t="s">
        <v>192</v>
      </c>
      <c r="J107" s="76">
        <v>-345.2</v>
      </c>
      <c r="K107" s="83" t="str">
        <f>IFERROR(IFERROR(VLOOKUP(I107,'DE-PARA'!B:D,3,0),VLOOKUP(I107,'DE-PARA'!C:D,2,0)),"NÃO ENCONTRADO")</f>
        <v>Materiais</v>
      </c>
      <c r="L107" s="50" t="str">
        <f>VLOOKUP(K107,'Base -Receita-Despesa'!$B:$P,1,FALSE)</f>
        <v>Materiais</v>
      </c>
    </row>
    <row r="108" spans="1:12" ht="15" customHeight="1" x14ac:dyDescent="0.3">
      <c r="A108" s="82" t="str">
        <f t="shared" si="2"/>
        <v>2016</v>
      </c>
      <c r="B108" s="72" t="s">
        <v>131</v>
      </c>
      <c r="C108" s="73" t="s">
        <v>132</v>
      </c>
      <c r="D108" s="74" t="str">
        <f t="shared" si="3"/>
        <v>jan/2016</v>
      </c>
      <c r="E108" s="53">
        <v>42395</v>
      </c>
      <c r="F108" s="75" t="s">
        <v>139</v>
      </c>
      <c r="G108" s="72"/>
      <c r="H108" s="49" t="s">
        <v>163</v>
      </c>
      <c r="I108" s="49" t="s">
        <v>192</v>
      </c>
      <c r="J108" s="76">
        <v>-974</v>
      </c>
      <c r="K108" s="83" t="str">
        <f>IFERROR(IFERROR(VLOOKUP(I108,'DE-PARA'!B:D,3,0),VLOOKUP(I108,'DE-PARA'!C:D,2,0)),"NÃO ENCONTRADO")</f>
        <v>Materiais</v>
      </c>
      <c r="L108" s="50" t="str">
        <f>VLOOKUP(K108,'Base -Receita-Despesa'!$B:$P,1,FALSE)</f>
        <v>Materiais</v>
      </c>
    </row>
    <row r="109" spans="1:12" ht="15" customHeight="1" x14ac:dyDescent="0.3">
      <c r="A109" s="82" t="str">
        <f t="shared" si="2"/>
        <v>2016</v>
      </c>
      <c r="B109" s="72" t="s">
        <v>131</v>
      </c>
      <c r="C109" s="73" t="s">
        <v>132</v>
      </c>
      <c r="D109" s="74" t="str">
        <f t="shared" si="3"/>
        <v>jan/2016</v>
      </c>
      <c r="E109" s="53">
        <v>42395</v>
      </c>
      <c r="F109" s="75" t="s">
        <v>139</v>
      </c>
      <c r="G109" s="72"/>
      <c r="H109" s="49" t="s">
        <v>163</v>
      </c>
      <c r="I109" s="49" t="s">
        <v>192</v>
      </c>
      <c r="J109" s="76">
        <v>-725.25</v>
      </c>
      <c r="K109" s="83" t="str">
        <f>IFERROR(IFERROR(VLOOKUP(I109,'DE-PARA'!B:D,3,0),VLOOKUP(I109,'DE-PARA'!C:D,2,0)),"NÃO ENCONTRADO")</f>
        <v>Materiais</v>
      </c>
      <c r="L109" s="50" t="str">
        <f>VLOOKUP(K109,'Base -Receita-Despesa'!$B:$P,1,FALSE)</f>
        <v>Materiais</v>
      </c>
    </row>
    <row r="110" spans="1:12" ht="15" customHeight="1" x14ac:dyDescent="0.3">
      <c r="A110" s="82" t="str">
        <f t="shared" si="2"/>
        <v>2016</v>
      </c>
      <c r="B110" s="72" t="s">
        <v>131</v>
      </c>
      <c r="C110" s="73" t="s">
        <v>132</v>
      </c>
      <c r="D110" s="74" t="str">
        <f t="shared" si="3"/>
        <v>jan/2016</v>
      </c>
      <c r="E110" s="53">
        <v>42395</v>
      </c>
      <c r="F110" s="75" t="s">
        <v>139</v>
      </c>
      <c r="G110" s="72"/>
      <c r="H110" s="49" t="s">
        <v>163</v>
      </c>
      <c r="I110" s="49" t="s">
        <v>192</v>
      </c>
      <c r="J110" s="76">
        <v>-300</v>
      </c>
      <c r="K110" s="83" t="str">
        <f>IFERROR(IFERROR(VLOOKUP(I110,'DE-PARA'!B:D,3,0),VLOOKUP(I110,'DE-PARA'!C:D,2,0)),"NÃO ENCONTRADO")</f>
        <v>Materiais</v>
      </c>
      <c r="L110" s="50" t="str">
        <f>VLOOKUP(K110,'Base -Receita-Despesa'!$B:$P,1,FALSE)</f>
        <v>Materiais</v>
      </c>
    </row>
    <row r="111" spans="1:12" ht="15" customHeight="1" x14ac:dyDescent="0.3">
      <c r="A111" s="82" t="str">
        <f t="shared" si="2"/>
        <v>2016</v>
      </c>
      <c r="B111" s="72" t="s">
        <v>131</v>
      </c>
      <c r="C111" s="73" t="s">
        <v>132</v>
      </c>
      <c r="D111" s="74" t="str">
        <f t="shared" si="3"/>
        <v>jan/2016</v>
      </c>
      <c r="E111" s="53">
        <v>42395</v>
      </c>
      <c r="F111" s="75" t="s">
        <v>139</v>
      </c>
      <c r="G111" s="72"/>
      <c r="H111" s="49" t="s">
        <v>163</v>
      </c>
      <c r="I111" s="49" t="s">
        <v>192</v>
      </c>
      <c r="J111" s="76">
        <v>-317.64999999999998</v>
      </c>
      <c r="K111" s="83" t="str">
        <f>IFERROR(IFERROR(VLOOKUP(I111,'DE-PARA'!B:D,3,0),VLOOKUP(I111,'DE-PARA'!C:D,2,0)),"NÃO ENCONTRADO")</f>
        <v>Materiais</v>
      </c>
      <c r="L111" s="50" t="str">
        <f>VLOOKUP(K111,'Base -Receita-Despesa'!$B:$P,1,FALSE)</f>
        <v>Materiais</v>
      </c>
    </row>
    <row r="112" spans="1:12" ht="15" customHeight="1" x14ac:dyDescent="0.3">
      <c r="A112" s="82" t="str">
        <f t="shared" si="2"/>
        <v>2016</v>
      </c>
      <c r="B112" s="72" t="s">
        <v>131</v>
      </c>
      <c r="C112" s="73" t="s">
        <v>132</v>
      </c>
      <c r="D112" s="74" t="str">
        <f t="shared" si="3"/>
        <v>jan/2016</v>
      </c>
      <c r="E112" s="53">
        <v>42395</v>
      </c>
      <c r="F112" s="75" t="s">
        <v>139</v>
      </c>
      <c r="G112" s="72"/>
      <c r="H112" s="49" t="s">
        <v>163</v>
      </c>
      <c r="I112" s="49" t="s">
        <v>192</v>
      </c>
      <c r="J112" s="76">
        <v>-459.5</v>
      </c>
      <c r="K112" s="83" t="str">
        <f>IFERROR(IFERROR(VLOOKUP(I112,'DE-PARA'!B:D,3,0),VLOOKUP(I112,'DE-PARA'!C:D,2,0)),"NÃO ENCONTRADO")</f>
        <v>Materiais</v>
      </c>
      <c r="L112" s="50" t="str">
        <f>VLOOKUP(K112,'Base -Receita-Despesa'!$B:$P,1,FALSE)</f>
        <v>Materiais</v>
      </c>
    </row>
    <row r="113" spans="1:12" ht="15" customHeight="1" x14ac:dyDescent="0.3">
      <c r="A113" s="82" t="str">
        <f t="shared" si="2"/>
        <v>2016</v>
      </c>
      <c r="B113" s="72" t="s">
        <v>131</v>
      </c>
      <c r="C113" s="73" t="s">
        <v>132</v>
      </c>
      <c r="D113" s="74" t="str">
        <f t="shared" si="3"/>
        <v>jan/2016</v>
      </c>
      <c r="E113" s="53">
        <v>42395</v>
      </c>
      <c r="F113" s="75" t="s">
        <v>139</v>
      </c>
      <c r="G113" s="72"/>
      <c r="H113" s="49" t="s">
        <v>163</v>
      </c>
      <c r="I113" s="49" t="s">
        <v>192</v>
      </c>
      <c r="J113" s="76">
        <v>-540</v>
      </c>
      <c r="K113" s="83" t="str">
        <f>IFERROR(IFERROR(VLOOKUP(I113,'DE-PARA'!B:D,3,0),VLOOKUP(I113,'DE-PARA'!C:D,2,0)),"NÃO ENCONTRADO")</f>
        <v>Materiais</v>
      </c>
      <c r="L113" s="50" t="str">
        <f>VLOOKUP(K113,'Base -Receita-Despesa'!$B:$P,1,FALSE)</f>
        <v>Materiais</v>
      </c>
    </row>
    <row r="114" spans="1:12" ht="15" customHeight="1" x14ac:dyDescent="0.3">
      <c r="A114" s="82" t="str">
        <f t="shared" si="2"/>
        <v>2016</v>
      </c>
      <c r="B114" s="72" t="s">
        <v>131</v>
      </c>
      <c r="C114" s="73" t="s">
        <v>132</v>
      </c>
      <c r="D114" s="74" t="str">
        <f t="shared" si="3"/>
        <v>jan/2016</v>
      </c>
      <c r="E114" s="53">
        <v>42395</v>
      </c>
      <c r="F114" s="75" t="s">
        <v>139</v>
      </c>
      <c r="G114" s="72"/>
      <c r="H114" s="49" t="s">
        <v>163</v>
      </c>
      <c r="I114" s="49" t="s">
        <v>192</v>
      </c>
      <c r="J114" s="76">
        <v>-359.32</v>
      </c>
      <c r="K114" s="83" t="str">
        <f>IFERROR(IFERROR(VLOOKUP(I114,'DE-PARA'!B:D,3,0),VLOOKUP(I114,'DE-PARA'!C:D,2,0)),"NÃO ENCONTRADO")</f>
        <v>Materiais</v>
      </c>
      <c r="L114" s="50" t="str">
        <f>VLOOKUP(K114,'Base -Receita-Despesa'!$B:$P,1,FALSE)</f>
        <v>Materiais</v>
      </c>
    </row>
    <row r="115" spans="1:12" ht="15" customHeight="1" x14ac:dyDescent="0.3">
      <c r="A115" s="82" t="str">
        <f t="shared" si="2"/>
        <v>2016</v>
      </c>
      <c r="B115" s="72" t="s">
        <v>131</v>
      </c>
      <c r="C115" s="73" t="s">
        <v>132</v>
      </c>
      <c r="D115" s="74" t="str">
        <f t="shared" si="3"/>
        <v>jan/2016</v>
      </c>
      <c r="E115" s="53">
        <v>42395</v>
      </c>
      <c r="F115" s="75" t="s">
        <v>139</v>
      </c>
      <c r="G115" s="72"/>
      <c r="H115" s="49" t="s">
        <v>163</v>
      </c>
      <c r="I115" s="49" t="s">
        <v>192</v>
      </c>
      <c r="J115" s="76">
        <v>-684.81</v>
      </c>
      <c r="K115" s="83" t="str">
        <f>IFERROR(IFERROR(VLOOKUP(I115,'DE-PARA'!B:D,3,0),VLOOKUP(I115,'DE-PARA'!C:D,2,0)),"NÃO ENCONTRADO")</f>
        <v>Materiais</v>
      </c>
      <c r="L115" s="50" t="str">
        <f>VLOOKUP(K115,'Base -Receita-Despesa'!$B:$P,1,FALSE)</f>
        <v>Materiais</v>
      </c>
    </row>
    <row r="116" spans="1:12" ht="15" customHeight="1" x14ac:dyDescent="0.3">
      <c r="A116" s="82" t="str">
        <f t="shared" si="2"/>
        <v>2016</v>
      </c>
      <c r="B116" s="72" t="s">
        <v>131</v>
      </c>
      <c r="C116" s="73" t="s">
        <v>132</v>
      </c>
      <c r="D116" s="74" t="str">
        <f t="shared" si="3"/>
        <v>jan/2016</v>
      </c>
      <c r="E116" s="53">
        <v>42395</v>
      </c>
      <c r="F116" s="75" t="s">
        <v>139</v>
      </c>
      <c r="G116" s="72"/>
      <c r="H116" s="49" t="s">
        <v>163</v>
      </c>
      <c r="I116" s="49" t="s">
        <v>192</v>
      </c>
      <c r="J116" s="76">
        <v>-389.07</v>
      </c>
      <c r="K116" s="83" t="str">
        <f>IFERROR(IFERROR(VLOOKUP(I116,'DE-PARA'!B:D,3,0),VLOOKUP(I116,'DE-PARA'!C:D,2,0)),"NÃO ENCONTRADO")</f>
        <v>Materiais</v>
      </c>
      <c r="L116" s="50" t="str">
        <f>VLOOKUP(K116,'Base -Receita-Despesa'!$B:$P,1,FALSE)</f>
        <v>Materiais</v>
      </c>
    </row>
    <row r="117" spans="1:12" ht="15" customHeight="1" x14ac:dyDescent="0.3">
      <c r="A117" s="82" t="str">
        <f t="shared" si="2"/>
        <v>2016</v>
      </c>
      <c r="B117" s="72" t="s">
        <v>131</v>
      </c>
      <c r="C117" s="73" t="s">
        <v>132</v>
      </c>
      <c r="D117" s="74" t="str">
        <f t="shared" si="3"/>
        <v>jan/2016</v>
      </c>
      <c r="E117" s="53">
        <v>42395</v>
      </c>
      <c r="F117" s="75" t="s">
        <v>139</v>
      </c>
      <c r="G117" s="72"/>
      <c r="H117" s="49" t="s">
        <v>163</v>
      </c>
      <c r="I117" s="49" t="s">
        <v>192</v>
      </c>
      <c r="J117" s="76">
        <v>-500</v>
      </c>
      <c r="K117" s="83" t="str">
        <f>IFERROR(IFERROR(VLOOKUP(I117,'DE-PARA'!B:D,3,0),VLOOKUP(I117,'DE-PARA'!C:D,2,0)),"NÃO ENCONTRADO")</f>
        <v>Materiais</v>
      </c>
      <c r="L117" s="50" t="str">
        <f>VLOOKUP(K117,'Base -Receita-Despesa'!$B:$P,1,FALSE)</f>
        <v>Materiais</v>
      </c>
    </row>
    <row r="118" spans="1:12" ht="15" customHeight="1" x14ac:dyDescent="0.3">
      <c r="A118" s="82" t="str">
        <f t="shared" si="2"/>
        <v>2016</v>
      </c>
      <c r="B118" s="72" t="s">
        <v>131</v>
      </c>
      <c r="C118" s="73" t="s">
        <v>132</v>
      </c>
      <c r="D118" s="74" t="str">
        <f t="shared" si="3"/>
        <v>jan/2016</v>
      </c>
      <c r="E118" s="53">
        <v>42395</v>
      </c>
      <c r="F118" s="75" t="s">
        <v>139</v>
      </c>
      <c r="G118" s="72"/>
      <c r="H118" s="49" t="s">
        <v>163</v>
      </c>
      <c r="I118" s="49" t="s">
        <v>192</v>
      </c>
      <c r="J118" s="76">
        <v>-1326.4</v>
      </c>
      <c r="K118" s="83" t="str">
        <f>IFERROR(IFERROR(VLOOKUP(I118,'DE-PARA'!B:D,3,0),VLOOKUP(I118,'DE-PARA'!C:D,2,0)),"NÃO ENCONTRADO")</f>
        <v>Materiais</v>
      </c>
      <c r="L118" s="50" t="str">
        <f>VLOOKUP(K118,'Base -Receita-Despesa'!$B:$P,1,FALSE)</f>
        <v>Materiais</v>
      </c>
    </row>
    <row r="119" spans="1:12" ht="15" customHeight="1" x14ac:dyDescent="0.3">
      <c r="A119" s="82" t="str">
        <f t="shared" si="2"/>
        <v>2016</v>
      </c>
      <c r="B119" s="72" t="s">
        <v>131</v>
      </c>
      <c r="C119" s="73" t="s">
        <v>132</v>
      </c>
      <c r="D119" s="74" t="str">
        <f t="shared" si="3"/>
        <v>jan/2016</v>
      </c>
      <c r="E119" s="53">
        <v>42395</v>
      </c>
      <c r="F119" s="75" t="s">
        <v>139</v>
      </c>
      <c r="G119" s="72"/>
      <c r="H119" s="49" t="s">
        <v>163</v>
      </c>
      <c r="I119" s="49" t="s">
        <v>192</v>
      </c>
      <c r="J119" s="76">
        <v>-561.6</v>
      </c>
      <c r="K119" s="83" t="str">
        <f>IFERROR(IFERROR(VLOOKUP(I119,'DE-PARA'!B:D,3,0),VLOOKUP(I119,'DE-PARA'!C:D,2,0)),"NÃO ENCONTRADO")</f>
        <v>Materiais</v>
      </c>
      <c r="L119" s="50" t="str">
        <f>VLOOKUP(K119,'Base -Receita-Despesa'!$B:$P,1,FALSE)</f>
        <v>Materiais</v>
      </c>
    </row>
    <row r="120" spans="1:12" ht="15" customHeight="1" x14ac:dyDescent="0.3">
      <c r="A120" s="82" t="str">
        <f t="shared" si="2"/>
        <v>2016</v>
      </c>
      <c r="B120" s="72" t="s">
        <v>131</v>
      </c>
      <c r="C120" s="73" t="s">
        <v>132</v>
      </c>
      <c r="D120" s="74" t="str">
        <f t="shared" si="3"/>
        <v>jan/2016</v>
      </c>
      <c r="E120" s="53">
        <v>42395</v>
      </c>
      <c r="F120" s="75" t="s">
        <v>139</v>
      </c>
      <c r="G120" s="72"/>
      <c r="H120" s="49" t="s">
        <v>163</v>
      </c>
      <c r="I120" s="49" t="s">
        <v>192</v>
      </c>
      <c r="J120" s="76">
        <v>-830</v>
      </c>
      <c r="K120" s="83" t="str">
        <f>IFERROR(IFERROR(VLOOKUP(I120,'DE-PARA'!B:D,3,0),VLOOKUP(I120,'DE-PARA'!C:D,2,0)),"NÃO ENCONTRADO")</f>
        <v>Materiais</v>
      </c>
      <c r="L120" s="50" t="str">
        <f>VLOOKUP(K120,'Base -Receita-Despesa'!$B:$P,1,FALSE)</f>
        <v>Materiais</v>
      </c>
    </row>
    <row r="121" spans="1:12" ht="15" customHeight="1" x14ac:dyDescent="0.3">
      <c r="A121" s="82" t="str">
        <f t="shared" si="2"/>
        <v>2016</v>
      </c>
      <c r="B121" s="72" t="s">
        <v>131</v>
      </c>
      <c r="C121" s="73" t="s">
        <v>132</v>
      </c>
      <c r="D121" s="74" t="str">
        <f t="shared" si="3"/>
        <v>jan/2016</v>
      </c>
      <c r="E121" s="53">
        <v>42395</v>
      </c>
      <c r="F121" s="75" t="s">
        <v>139</v>
      </c>
      <c r="G121" s="72"/>
      <c r="H121" s="49" t="s">
        <v>163</v>
      </c>
      <c r="I121" s="49" t="s">
        <v>192</v>
      </c>
      <c r="J121" s="76">
        <v>-289.99</v>
      </c>
      <c r="K121" s="83" t="str">
        <f>IFERROR(IFERROR(VLOOKUP(I121,'DE-PARA'!B:D,3,0),VLOOKUP(I121,'DE-PARA'!C:D,2,0)),"NÃO ENCONTRADO")</f>
        <v>Materiais</v>
      </c>
      <c r="L121" s="50" t="str">
        <f>VLOOKUP(K121,'Base -Receita-Despesa'!$B:$P,1,FALSE)</f>
        <v>Materiais</v>
      </c>
    </row>
    <row r="122" spans="1:12" ht="15" customHeight="1" x14ac:dyDescent="0.3">
      <c r="A122" s="82" t="str">
        <f t="shared" si="2"/>
        <v>2016</v>
      </c>
      <c r="B122" s="72" t="s">
        <v>131</v>
      </c>
      <c r="C122" s="73" t="s">
        <v>132</v>
      </c>
      <c r="D122" s="74" t="str">
        <f t="shared" si="3"/>
        <v>jan/2016</v>
      </c>
      <c r="E122" s="53">
        <v>42395</v>
      </c>
      <c r="F122" s="75" t="s">
        <v>139</v>
      </c>
      <c r="G122" s="72"/>
      <c r="H122" s="49" t="s">
        <v>212</v>
      </c>
      <c r="I122" s="49" t="s">
        <v>138</v>
      </c>
      <c r="J122" s="76">
        <v>-432</v>
      </c>
      <c r="K122" s="83" t="str">
        <f>IFERROR(IFERROR(VLOOKUP(I122,'DE-PARA'!B:D,3,0),VLOOKUP(I122,'DE-PARA'!C:D,2,0)),"NÃO ENCONTRADO")</f>
        <v>Serviços</v>
      </c>
      <c r="L122" s="50" t="str">
        <f>VLOOKUP(K122,'Base -Receita-Despesa'!$B:$P,1,FALSE)</f>
        <v>Serviços</v>
      </c>
    </row>
    <row r="123" spans="1:12" ht="15" customHeight="1" x14ac:dyDescent="0.3">
      <c r="A123" s="82" t="str">
        <f t="shared" si="2"/>
        <v>2016</v>
      </c>
      <c r="B123" s="72" t="s">
        <v>131</v>
      </c>
      <c r="C123" s="73" t="s">
        <v>132</v>
      </c>
      <c r="D123" s="74" t="str">
        <f t="shared" si="3"/>
        <v>jan/2016</v>
      </c>
      <c r="E123" s="53">
        <v>42395</v>
      </c>
      <c r="F123" s="75" t="s">
        <v>139</v>
      </c>
      <c r="G123" s="72"/>
      <c r="H123" s="49" t="s">
        <v>216</v>
      </c>
      <c r="I123" s="49" t="s">
        <v>196</v>
      </c>
      <c r="J123" s="76">
        <v>-152.38</v>
      </c>
      <c r="K123" s="83" t="str">
        <f>IFERROR(IFERROR(VLOOKUP(I123,'DE-PARA'!B:D,3,0),VLOOKUP(I123,'DE-PARA'!C:D,2,0)),"NÃO ENCONTRADO")</f>
        <v>Materiais</v>
      </c>
      <c r="L123" s="50" t="str">
        <f>VLOOKUP(K123,'Base -Receita-Despesa'!$B:$P,1,FALSE)</f>
        <v>Materiais</v>
      </c>
    </row>
    <row r="124" spans="1:12" ht="15" customHeight="1" x14ac:dyDescent="0.3">
      <c r="A124" s="82" t="str">
        <f t="shared" si="2"/>
        <v>2016</v>
      </c>
      <c r="B124" s="72" t="s">
        <v>131</v>
      </c>
      <c r="C124" s="73" t="s">
        <v>132</v>
      </c>
      <c r="D124" s="74" t="str">
        <f t="shared" si="3"/>
        <v>jan/2016</v>
      </c>
      <c r="E124" s="53">
        <v>42395</v>
      </c>
      <c r="F124" s="75" t="s">
        <v>139</v>
      </c>
      <c r="G124" s="72"/>
      <c r="H124" s="49" t="s">
        <v>217</v>
      </c>
      <c r="I124" s="49" t="s">
        <v>196</v>
      </c>
      <c r="J124" s="76">
        <v>-117</v>
      </c>
      <c r="K124" s="83" t="str">
        <f>IFERROR(IFERROR(VLOOKUP(I124,'DE-PARA'!B:D,3,0),VLOOKUP(I124,'DE-PARA'!C:D,2,0)),"NÃO ENCONTRADO")</f>
        <v>Materiais</v>
      </c>
      <c r="L124" s="50" t="str">
        <f>VLOOKUP(K124,'Base -Receita-Despesa'!$B:$P,1,FALSE)</f>
        <v>Materiais</v>
      </c>
    </row>
    <row r="125" spans="1:12" ht="15" customHeight="1" x14ac:dyDescent="0.3">
      <c r="A125" s="82" t="str">
        <f t="shared" si="2"/>
        <v>2016</v>
      </c>
      <c r="B125" s="72" t="s">
        <v>131</v>
      </c>
      <c r="C125" s="73" t="s">
        <v>132</v>
      </c>
      <c r="D125" s="74" t="str">
        <f t="shared" si="3"/>
        <v>jan/2016</v>
      </c>
      <c r="E125" s="53">
        <v>42395</v>
      </c>
      <c r="F125" s="75" t="s">
        <v>139</v>
      </c>
      <c r="G125" s="72"/>
      <c r="H125" s="49" t="s">
        <v>217</v>
      </c>
      <c r="I125" s="49" t="s">
        <v>196</v>
      </c>
      <c r="J125" s="76">
        <v>-866</v>
      </c>
      <c r="K125" s="83" t="str">
        <f>IFERROR(IFERROR(VLOOKUP(I125,'DE-PARA'!B:D,3,0),VLOOKUP(I125,'DE-PARA'!C:D,2,0)),"NÃO ENCONTRADO")</f>
        <v>Materiais</v>
      </c>
      <c r="L125" s="50" t="str">
        <f>VLOOKUP(K125,'Base -Receita-Despesa'!$B:$P,1,FALSE)</f>
        <v>Materiais</v>
      </c>
    </row>
    <row r="126" spans="1:12" ht="15" customHeight="1" x14ac:dyDescent="0.3">
      <c r="A126" s="82" t="str">
        <f t="shared" si="2"/>
        <v>2016</v>
      </c>
      <c r="B126" s="72" t="s">
        <v>131</v>
      </c>
      <c r="C126" s="73" t="s">
        <v>132</v>
      </c>
      <c r="D126" s="74" t="str">
        <f t="shared" si="3"/>
        <v>jan/2016</v>
      </c>
      <c r="E126" s="53">
        <v>42395</v>
      </c>
      <c r="F126" s="75" t="s">
        <v>139</v>
      </c>
      <c r="G126" s="72"/>
      <c r="H126" s="49" t="s">
        <v>217</v>
      </c>
      <c r="I126" s="49" t="s">
        <v>196</v>
      </c>
      <c r="J126" s="76">
        <v>-450</v>
      </c>
      <c r="K126" s="83" t="str">
        <f>IFERROR(IFERROR(VLOOKUP(I126,'DE-PARA'!B:D,3,0),VLOOKUP(I126,'DE-PARA'!C:D,2,0)),"NÃO ENCONTRADO")</f>
        <v>Materiais</v>
      </c>
      <c r="L126" s="50" t="str">
        <f>VLOOKUP(K126,'Base -Receita-Despesa'!$B:$P,1,FALSE)</f>
        <v>Materiais</v>
      </c>
    </row>
    <row r="127" spans="1:12" ht="15" customHeight="1" x14ac:dyDescent="0.3">
      <c r="A127" s="82" t="str">
        <f t="shared" si="2"/>
        <v>2016</v>
      </c>
      <c r="B127" s="72" t="s">
        <v>131</v>
      </c>
      <c r="C127" s="73" t="s">
        <v>132</v>
      </c>
      <c r="D127" s="74" t="str">
        <f t="shared" si="3"/>
        <v>jan/2016</v>
      </c>
      <c r="E127" s="53">
        <v>42395</v>
      </c>
      <c r="F127" s="75" t="s">
        <v>139</v>
      </c>
      <c r="G127" s="72"/>
      <c r="H127" s="49" t="s">
        <v>217</v>
      </c>
      <c r="I127" s="49" t="s">
        <v>196</v>
      </c>
      <c r="J127" s="76">
        <v>-574</v>
      </c>
      <c r="K127" s="83" t="str">
        <f>IFERROR(IFERROR(VLOOKUP(I127,'DE-PARA'!B:D,3,0),VLOOKUP(I127,'DE-PARA'!C:D,2,0)),"NÃO ENCONTRADO")</f>
        <v>Materiais</v>
      </c>
      <c r="L127" s="50" t="str">
        <f>VLOOKUP(K127,'Base -Receita-Despesa'!$B:$P,1,FALSE)</f>
        <v>Materiais</v>
      </c>
    </row>
    <row r="128" spans="1:12" ht="15" customHeight="1" x14ac:dyDescent="0.3">
      <c r="A128" s="82" t="str">
        <f t="shared" si="2"/>
        <v>2016</v>
      </c>
      <c r="B128" s="72" t="s">
        <v>131</v>
      </c>
      <c r="C128" s="73" t="s">
        <v>132</v>
      </c>
      <c r="D128" s="74" t="str">
        <f t="shared" si="3"/>
        <v>jan/2016</v>
      </c>
      <c r="E128" s="53">
        <v>42396</v>
      </c>
      <c r="F128" s="75" t="s">
        <v>133</v>
      </c>
      <c r="G128" s="72"/>
      <c r="H128" s="49" t="s">
        <v>319</v>
      </c>
      <c r="I128" s="49" t="s">
        <v>135</v>
      </c>
      <c r="J128" s="76">
        <v>-944.35</v>
      </c>
      <c r="K128" s="83" t="str">
        <f>IFERROR(IFERROR(VLOOKUP(I128,'DE-PARA'!B:D,3,0),VLOOKUP(I128,'DE-PARA'!C:D,2,0)),"NÃO ENCONTRADO")</f>
        <v>Pessoal</v>
      </c>
      <c r="L128" s="50" t="str">
        <f>VLOOKUP(K128,'Base -Receita-Despesa'!$B:$P,1,FALSE)</f>
        <v>Pessoal</v>
      </c>
    </row>
    <row r="129" spans="1:12" ht="15" customHeight="1" x14ac:dyDescent="0.3">
      <c r="A129" s="82" t="str">
        <f t="shared" si="2"/>
        <v>2016</v>
      </c>
      <c r="B129" s="72" t="s">
        <v>131</v>
      </c>
      <c r="C129" s="73" t="s">
        <v>132</v>
      </c>
      <c r="D129" s="74" t="str">
        <f t="shared" si="3"/>
        <v>jan/2016</v>
      </c>
      <c r="E129" s="53">
        <v>42397</v>
      </c>
      <c r="F129" s="75" t="s">
        <v>139</v>
      </c>
      <c r="G129" s="72"/>
      <c r="H129" s="49" t="s">
        <v>320</v>
      </c>
      <c r="I129" s="49" t="s">
        <v>159</v>
      </c>
      <c r="J129" s="76">
        <v>-107.9</v>
      </c>
      <c r="K129" s="83" t="str">
        <f>IFERROR(IFERROR(VLOOKUP(I129,'DE-PARA'!B:D,3,0),VLOOKUP(I129,'DE-PARA'!C:D,2,0)),"NÃO ENCONTRADO")</f>
        <v>Materiais</v>
      </c>
      <c r="L129" s="50" t="str">
        <f>VLOOKUP(K129,'Base -Receita-Despesa'!$B:$P,1,FALSE)</f>
        <v>Materiais</v>
      </c>
    </row>
    <row r="130" spans="1:12" ht="15" customHeight="1" x14ac:dyDescent="0.3">
      <c r="A130" s="82" t="str">
        <f t="shared" si="2"/>
        <v>2016</v>
      </c>
      <c r="B130" s="72" t="s">
        <v>131</v>
      </c>
      <c r="C130" s="73" t="s">
        <v>132</v>
      </c>
      <c r="D130" s="74" t="str">
        <f t="shared" si="3"/>
        <v>jan/2016</v>
      </c>
      <c r="E130" s="53">
        <v>42397</v>
      </c>
      <c r="F130" s="75" t="s">
        <v>136</v>
      </c>
      <c r="G130" s="72"/>
      <c r="H130" s="49" t="s">
        <v>149</v>
      </c>
      <c r="I130" s="49" t="s">
        <v>129</v>
      </c>
      <c r="J130" s="76">
        <v>-7.85</v>
      </c>
      <c r="K130" s="83" t="str">
        <f>IFERROR(IFERROR(VLOOKUP(I130,'DE-PARA'!B:D,3,0),VLOOKUP(I130,'DE-PARA'!C:D,2,0)),"NÃO ENCONTRADO")</f>
        <v>Outras Saídas</v>
      </c>
      <c r="L130" s="50" t="str">
        <f>VLOOKUP(K130,'Base -Receita-Despesa'!$B:$P,1,FALSE)</f>
        <v>Outras Saídas</v>
      </c>
    </row>
    <row r="131" spans="1:12" ht="15" customHeight="1" x14ac:dyDescent="0.3">
      <c r="A131" s="82" t="str">
        <f t="shared" si="2"/>
        <v>2016</v>
      </c>
      <c r="B131" s="72" t="s">
        <v>131</v>
      </c>
      <c r="C131" s="73" t="s">
        <v>132</v>
      </c>
      <c r="D131" s="74" t="str">
        <f t="shared" si="3"/>
        <v>jan/2016</v>
      </c>
      <c r="E131" s="53">
        <v>42397</v>
      </c>
      <c r="F131" s="75" t="s">
        <v>139</v>
      </c>
      <c r="G131" s="72"/>
      <c r="H131" s="49" t="s">
        <v>229</v>
      </c>
      <c r="I131" s="49" t="s">
        <v>159</v>
      </c>
      <c r="J131" s="76">
        <v>-643.16</v>
      </c>
      <c r="K131" s="83" t="str">
        <f>IFERROR(IFERROR(VLOOKUP(I131,'DE-PARA'!B:D,3,0),VLOOKUP(I131,'DE-PARA'!C:D,2,0)),"NÃO ENCONTRADO")</f>
        <v>Materiais</v>
      </c>
      <c r="L131" s="50" t="str">
        <f>VLOOKUP(K131,'Base -Receita-Despesa'!$B:$P,1,FALSE)</f>
        <v>Materiais</v>
      </c>
    </row>
    <row r="132" spans="1:12" ht="15" customHeight="1" x14ac:dyDescent="0.3">
      <c r="A132" s="82" t="str">
        <f t="shared" ref="A132:A195" si="4">IF(K132="NÃO ENCONTRADO",0,RIGHT(D132,4))</f>
        <v>2016</v>
      </c>
      <c r="B132" s="72" t="s">
        <v>131</v>
      </c>
      <c r="C132" s="73" t="s">
        <v>132</v>
      </c>
      <c r="D132" s="74" t="str">
        <f t="shared" ref="D132:D195" si="5">TEXT(E132,"mmm/aaaa")</f>
        <v>jan/2016</v>
      </c>
      <c r="E132" s="53">
        <v>42398</v>
      </c>
      <c r="F132" s="75" t="s">
        <v>125</v>
      </c>
      <c r="G132" s="72"/>
      <c r="H132" s="49" t="s">
        <v>321</v>
      </c>
      <c r="I132" s="49" t="s">
        <v>127</v>
      </c>
      <c r="J132" s="76">
        <v>-2423.0300000000002</v>
      </c>
      <c r="K132" s="83" t="str">
        <f>IFERROR(IFERROR(VLOOKUP(I132,'DE-PARA'!B:D,3,0),VLOOKUP(I132,'DE-PARA'!C:D,2,0)),"NÃO ENCONTRADO")</f>
        <v>Pessoal</v>
      </c>
      <c r="L132" s="50" t="str">
        <f>VLOOKUP(K132,'Base -Receita-Despesa'!$B:$P,1,FALSE)</f>
        <v>Pessoal</v>
      </c>
    </row>
    <row r="133" spans="1:12" ht="15" customHeight="1" x14ac:dyDescent="0.3">
      <c r="A133" s="82" t="str">
        <f t="shared" si="4"/>
        <v>2016</v>
      </c>
      <c r="B133" s="72" t="s">
        <v>131</v>
      </c>
      <c r="C133" s="73" t="s">
        <v>132</v>
      </c>
      <c r="D133" s="74" t="str">
        <f t="shared" si="5"/>
        <v>jan/2016</v>
      </c>
      <c r="E133" s="53">
        <v>42398</v>
      </c>
      <c r="F133" s="75" t="s">
        <v>125</v>
      </c>
      <c r="G133" s="72"/>
      <c r="H133" s="49" t="s">
        <v>322</v>
      </c>
      <c r="I133" s="49" t="s">
        <v>127</v>
      </c>
      <c r="J133" s="76">
        <v>-1459.69</v>
      </c>
      <c r="K133" s="83" t="str">
        <f>IFERROR(IFERROR(VLOOKUP(I133,'DE-PARA'!B:D,3,0),VLOOKUP(I133,'DE-PARA'!C:D,2,0)),"NÃO ENCONTRADO")</f>
        <v>Pessoal</v>
      </c>
      <c r="L133" s="50" t="str">
        <f>VLOOKUP(K133,'Base -Receita-Despesa'!$B:$P,1,FALSE)</f>
        <v>Pessoal</v>
      </c>
    </row>
    <row r="134" spans="1:12" ht="15" customHeight="1" x14ac:dyDescent="0.3">
      <c r="A134" s="82" t="str">
        <f t="shared" si="4"/>
        <v>2016</v>
      </c>
      <c r="B134" s="72" t="s">
        <v>131</v>
      </c>
      <c r="C134" s="73" t="s">
        <v>132</v>
      </c>
      <c r="D134" s="74" t="str">
        <f t="shared" si="5"/>
        <v>jan/2016</v>
      </c>
      <c r="E134" s="53">
        <v>42398</v>
      </c>
      <c r="F134" s="75" t="s">
        <v>139</v>
      </c>
      <c r="G134" s="72"/>
      <c r="H134" s="49" t="s">
        <v>323</v>
      </c>
      <c r="I134" s="49" t="s">
        <v>112</v>
      </c>
      <c r="J134" s="76">
        <v>-440.26</v>
      </c>
      <c r="K134" s="83" t="str">
        <f>IFERROR(IFERROR(VLOOKUP(I134,'DE-PARA'!B:D,3,0),VLOOKUP(I134,'DE-PARA'!C:D,2,0)),"NÃO ENCONTRADO")</f>
        <v>Serviços</v>
      </c>
      <c r="L134" s="50" t="str">
        <f>VLOOKUP(K134,'Base -Receita-Despesa'!$B:$P,1,FALSE)</f>
        <v>Serviços</v>
      </c>
    </row>
    <row r="135" spans="1:12" ht="15" customHeight="1" x14ac:dyDescent="0.3">
      <c r="A135" s="82" t="str">
        <f t="shared" si="4"/>
        <v>2016</v>
      </c>
      <c r="B135" s="72" t="s">
        <v>131</v>
      </c>
      <c r="C135" s="73" t="s">
        <v>132</v>
      </c>
      <c r="D135" s="74" t="str">
        <f t="shared" si="5"/>
        <v>jan/2016</v>
      </c>
      <c r="E135" s="53">
        <v>42398</v>
      </c>
      <c r="F135" s="75" t="s">
        <v>123</v>
      </c>
      <c r="G135" s="72"/>
      <c r="H135" s="49" t="s">
        <v>324</v>
      </c>
      <c r="I135" s="49" t="s">
        <v>124</v>
      </c>
      <c r="J135" s="76">
        <v>-4350.87</v>
      </c>
      <c r="K135" s="83" t="str">
        <f>IFERROR(IFERROR(VLOOKUP(I135,'DE-PARA'!B:D,3,0),VLOOKUP(I135,'DE-PARA'!C:D,2,0)),"NÃO ENCONTRADO")</f>
        <v>Rescisões Trabalhistas</v>
      </c>
      <c r="L135" s="50" t="str">
        <f>VLOOKUP(K135,'Base -Receita-Despesa'!$B:$P,1,FALSE)</f>
        <v>Rescisões Trabalhistas</v>
      </c>
    </row>
    <row r="136" spans="1:12" ht="15" customHeight="1" x14ac:dyDescent="0.3">
      <c r="A136" s="82" t="str">
        <f t="shared" si="4"/>
        <v>2016</v>
      </c>
      <c r="B136" s="72" t="s">
        <v>238</v>
      </c>
      <c r="C136" s="73" t="s">
        <v>132</v>
      </c>
      <c r="D136" s="74" t="str">
        <f t="shared" si="5"/>
        <v>jan/2016</v>
      </c>
      <c r="E136" s="53">
        <v>42399</v>
      </c>
      <c r="F136" s="75" t="s">
        <v>239</v>
      </c>
      <c r="G136" s="72"/>
      <c r="H136" s="49" t="s">
        <v>325</v>
      </c>
      <c r="I136" s="49" t="s">
        <v>240</v>
      </c>
      <c r="J136" s="76">
        <v>924.1</v>
      </c>
      <c r="K136" s="83" t="str">
        <f>IFERROR(IFERROR(VLOOKUP(I136,'DE-PARA'!B:D,3,0),VLOOKUP(I136,'DE-PARA'!C:D,2,0)),"NÃO ENCONTRADO")</f>
        <v>Rendimentos sobre Aplicações Financeiras</v>
      </c>
      <c r="L136" s="50" t="str">
        <f>VLOOKUP(K136,'Base -Receita-Despesa'!$B:$P,1,FALSE)</f>
        <v>Rendimentos sobre Aplicações Financeiras</v>
      </c>
    </row>
    <row r="137" spans="1:12" ht="15" customHeight="1" x14ac:dyDescent="0.3">
      <c r="A137" s="82" t="str">
        <f t="shared" si="4"/>
        <v>2016</v>
      </c>
      <c r="B137" s="72" t="s">
        <v>131</v>
      </c>
      <c r="C137" s="73" t="s">
        <v>132</v>
      </c>
      <c r="D137" s="74" t="str">
        <f t="shared" si="5"/>
        <v>fev/2016</v>
      </c>
      <c r="E137" s="53">
        <v>42401</v>
      </c>
      <c r="F137" s="75" t="s">
        <v>154</v>
      </c>
      <c r="G137" s="72"/>
      <c r="H137" s="49" t="s">
        <v>154</v>
      </c>
      <c r="I137" s="49" t="s">
        <v>1497</v>
      </c>
      <c r="J137" s="76">
        <v>200000</v>
      </c>
      <c r="K137" s="83" t="str">
        <f>IFERROR(IFERROR(VLOOKUP(I137,'DE-PARA'!B:D,3,0),VLOOKUP(I137,'DE-PARA'!C:D,2,0)),"NÃO ENCONTRADO")</f>
        <v>Repasses Contrato de Gestão</v>
      </c>
      <c r="L137" s="50" t="str">
        <f>VLOOKUP(K137,'Base -Receita-Despesa'!$B:$P,1,FALSE)</f>
        <v>Repasses Contrato de Gestão</v>
      </c>
    </row>
    <row r="138" spans="1:12" ht="15" customHeight="1" x14ac:dyDescent="0.3">
      <c r="A138" s="82" t="str">
        <f t="shared" si="4"/>
        <v>2016</v>
      </c>
      <c r="B138" s="72" t="s">
        <v>131</v>
      </c>
      <c r="C138" s="73" t="s">
        <v>132</v>
      </c>
      <c r="D138" s="74" t="str">
        <f t="shared" si="5"/>
        <v>fev/2016</v>
      </c>
      <c r="E138" s="53">
        <v>42401</v>
      </c>
      <c r="F138" s="75" t="s">
        <v>199</v>
      </c>
      <c r="G138" s="72"/>
      <c r="H138" s="49" t="s">
        <v>326</v>
      </c>
      <c r="I138" s="49" t="s">
        <v>192</v>
      </c>
      <c r="J138" s="76">
        <v>-110</v>
      </c>
      <c r="K138" s="83" t="str">
        <f>IFERROR(IFERROR(VLOOKUP(I138,'DE-PARA'!B:D,3,0),VLOOKUP(I138,'DE-PARA'!C:D,2,0)),"NÃO ENCONTRADO")</f>
        <v>Materiais</v>
      </c>
      <c r="L138" s="50" t="str">
        <f>VLOOKUP(K138,'Base -Receita-Despesa'!$B:$P,1,FALSE)</f>
        <v>Materiais</v>
      </c>
    </row>
    <row r="139" spans="1:12" ht="15" customHeight="1" x14ac:dyDescent="0.3">
      <c r="A139" s="82" t="str">
        <f t="shared" si="4"/>
        <v>2016</v>
      </c>
      <c r="B139" s="72" t="s">
        <v>131</v>
      </c>
      <c r="C139" s="73" t="s">
        <v>132</v>
      </c>
      <c r="D139" s="74" t="str">
        <f t="shared" si="5"/>
        <v>fev/2016</v>
      </c>
      <c r="E139" s="53">
        <v>42401</v>
      </c>
      <c r="F139" s="75" t="s">
        <v>327</v>
      </c>
      <c r="G139" s="72"/>
      <c r="H139" s="49" t="s">
        <v>328</v>
      </c>
      <c r="I139" s="49" t="s">
        <v>159</v>
      </c>
      <c r="J139" s="76">
        <v>-207.5</v>
      </c>
      <c r="K139" s="83" t="str">
        <f>IFERROR(IFERROR(VLOOKUP(I139,'DE-PARA'!B:D,3,0),VLOOKUP(I139,'DE-PARA'!C:D,2,0)),"NÃO ENCONTRADO")</f>
        <v>Materiais</v>
      </c>
      <c r="L139" s="50" t="str">
        <f>VLOOKUP(K139,'Base -Receita-Despesa'!$B:$P,1,FALSE)</f>
        <v>Materiais</v>
      </c>
    </row>
    <row r="140" spans="1:12" ht="15" customHeight="1" x14ac:dyDescent="0.3">
      <c r="A140" s="82" t="str">
        <f t="shared" si="4"/>
        <v>2016</v>
      </c>
      <c r="B140" s="72" t="s">
        <v>131</v>
      </c>
      <c r="C140" s="73" t="s">
        <v>132</v>
      </c>
      <c r="D140" s="74" t="str">
        <f t="shared" si="5"/>
        <v>fev/2016</v>
      </c>
      <c r="E140" s="53">
        <v>42401</v>
      </c>
      <c r="F140" s="75" t="s">
        <v>136</v>
      </c>
      <c r="G140" s="72"/>
      <c r="H140" s="49" t="s">
        <v>149</v>
      </c>
      <c r="I140" s="49" t="s">
        <v>129</v>
      </c>
      <c r="J140" s="76">
        <v>-7.85</v>
      </c>
      <c r="K140" s="83" t="str">
        <f>IFERROR(IFERROR(VLOOKUP(I140,'DE-PARA'!B:D,3,0),VLOOKUP(I140,'DE-PARA'!C:D,2,0)),"NÃO ENCONTRADO")</f>
        <v>Outras Saídas</v>
      </c>
      <c r="L140" s="50" t="str">
        <f>VLOOKUP(K140,'Base -Receita-Despesa'!$B:$P,1,FALSE)</f>
        <v>Outras Saídas</v>
      </c>
    </row>
    <row r="141" spans="1:12" ht="15" customHeight="1" x14ac:dyDescent="0.3">
      <c r="A141" s="82" t="str">
        <f t="shared" si="4"/>
        <v>2016</v>
      </c>
      <c r="B141" s="72" t="s">
        <v>131</v>
      </c>
      <c r="C141" s="73" t="s">
        <v>132</v>
      </c>
      <c r="D141" s="74" t="str">
        <f t="shared" si="5"/>
        <v>fev/2016</v>
      </c>
      <c r="E141" s="53">
        <v>42401</v>
      </c>
      <c r="F141" s="75" t="s">
        <v>197</v>
      </c>
      <c r="G141" s="72"/>
      <c r="H141" s="49" t="s">
        <v>329</v>
      </c>
      <c r="I141" s="49" t="s">
        <v>129</v>
      </c>
      <c r="J141" s="76">
        <v>16.579999999999998</v>
      </c>
      <c r="K141" s="83" t="str">
        <f>IFERROR(IFERROR(VLOOKUP(I141,'DE-PARA'!B:D,3,0),VLOOKUP(I141,'DE-PARA'!C:D,2,0)),"NÃO ENCONTRADO")</f>
        <v>Outras Saídas</v>
      </c>
      <c r="L141" s="50" t="str">
        <f>VLOOKUP(K141,'Base -Receita-Despesa'!$B:$P,1,FALSE)</f>
        <v>Outras Saídas</v>
      </c>
    </row>
    <row r="142" spans="1:12" ht="15" customHeight="1" x14ac:dyDescent="0.3">
      <c r="A142" s="82" t="str">
        <f t="shared" si="4"/>
        <v>2016</v>
      </c>
      <c r="B142" s="72" t="s">
        <v>131</v>
      </c>
      <c r="C142" s="73" t="s">
        <v>132</v>
      </c>
      <c r="D142" s="74" t="str">
        <f t="shared" si="5"/>
        <v>fev/2016</v>
      </c>
      <c r="E142" s="53">
        <v>42401</v>
      </c>
      <c r="F142" s="75" t="s">
        <v>125</v>
      </c>
      <c r="G142" s="72"/>
      <c r="H142" s="49" t="s">
        <v>331</v>
      </c>
      <c r="I142" s="49" t="s">
        <v>127</v>
      </c>
      <c r="J142" s="76">
        <v>-2951.22</v>
      </c>
      <c r="K142" s="83" t="str">
        <f>IFERROR(IFERROR(VLOOKUP(I142,'DE-PARA'!B:D,3,0),VLOOKUP(I142,'DE-PARA'!C:D,2,0)),"NÃO ENCONTRADO")</f>
        <v>Pessoal</v>
      </c>
      <c r="L142" s="50" t="str">
        <f>VLOOKUP(K142,'Base -Receita-Despesa'!$B:$P,1,FALSE)</f>
        <v>Pessoal</v>
      </c>
    </row>
    <row r="143" spans="1:12" ht="15" customHeight="1" x14ac:dyDescent="0.3">
      <c r="A143" s="82" t="str">
        <f t="shared" si="4"/>
        <v>2016</v>
      </c>
      <c r="B143" s="72" t="s">
        <v>131</v>
      </c>
      <c r="C143" s="73" t="s">
        <v>132</v>
      </c>
      <c r="D143" s="74" t="str">
        <f t="shared" si="5"/>
        <v>fev/2016</v>
      </c>
      <c r="E143" s="53">
        <v>42401</v>
      </c>
      <c r="F143" s="75" t="s">
        <v>332</v>
      </c>
      <c r="G143" s="72"/>
      <c r="H143" s="49" t="s">
        <v>203</v>
      </c>
      <c r="I143" s="49" t="s">
        <v>204</v>
      </c>
      <c r="J143" s="76">
        <v>-7000</v>
      </c>
      <c r="K143" s="83" t="str">
        <f>IFERROR(IFERROR(VLOOKUP(I143,'DE-PARA'!B:D,3,0),VLOOKUP(I143,'DE-PARA'!C:D,2,0)),"NÃO ENCONTRADO")</f>
        <v>Serviços</v>
      </c>
      <c r="L143" s="50" t="str">
        <f>VLOOKUP(K143,'Base -Receita-Despesa'!$B:$P,1,FALSE)</f>
        <v>Serviços</v>
      </c>
    </row>
    <row r="144" spans="1:12" ht="15" customHeight="1" x14ac:dyDescent="0.3">
      <c r="A144" s="82" t="str">
        <f t="shared" si="4"/>
        <v>2016</v>
      </c>
      <c r="B144" s="72" t="s">
        <v>131</v>
      </c>
      <c r="C144" s="73" t="s">
        <v>132</v>
      </c>
      <c r="D144" s="74" t="str">
        <f t="shared" si="5"/>
        <v>fev/2016</v>
      </c>
      <c r="E144" s="53">
        <v>42401</v>
      </c>
      <c r="F144" s="75" t="s">
        <v>151</v>
      </c>
      <c r="G144" s="72"/>
      <c r="H144" s="49" t="s">
        <v>152</v>
      </c>
      <c r="I144" s="49" t="s">
        <v>153</v>
      </c>
      <c r="J144" s="76">
        <v>-2000</v>
      </c>
      <c r="K144" s="83" t="str">
        <f>IFERROR(IFERROR(VLOOKUP(I144,'DE-PARA'!B:D,3,0),VLOOKUP(I144,'DE-PARA'!C:D,2,0)),"NÃO ENCONTRADO")</f>
        <v>Outras Saídas</v>
      </c>
      <c r="L144" s="50" t="str">
        <f>VLOOKUP(K144,'Base -Receita-Despesa'!$B:$P,1,FALSE)</f>
        <v>Outras Saídas</v>
      </c>
    </row>
    <row r="145" spans="1:12" ht="15" customHeight="1" x14ac:dyDescent="0.3">
      <c r="A145" s="82" t="str">
        <f t="shared" si="4"/>
        <v>2016</v>
      </c>
      <c r="B145" s="72" t="s">
        <v>131</v>
      </c>
      <c r="C145" s="73" t="s">
        <v>132</v>
      </c>
      <c r="D145" s="74" t="str">
        <f t="shared" si="5"/>
        <v>fev/2016</v>
      </c>
      <c r="E145" s="53">
        <v>42401</v>
      </c>
      <c r="F145" s="75" t="s">
        <v>125</v>
      </c>
      <c r="G145" s="72"/>
      <c r="H145" s="49" t="s">
        <v>221</v>
      </c>
      <c r="I145" s="49" t="s">
        <v>127</v>
      </c>
      <c r="J145" s="76">
        <v>-6487.47</v>
      </c>
      <c r="K145" s="83" t="str">
        <f>IFERROR(IFERROR(VLOOKUP(I145,'DE-PARA'!B:D,3,0),VLOOKUP(I145,'DE-PARA'!C:D,2,0)),"NÃO ENCONTRADO")</f>
        <v>Pessoal</v>
      </c>
      <c r="L145" s="50" t="str">
        <f>VLOOKUP(K145,'Base -Receita-Despesa'!$B:$P,1,FALSE)</f>
        <v>Pessoal</v>
      </c>
    </row>
    <row r="146" spans="1:12" ht="15" customHeight="1" x14ac:dyDescent="0.3">
      <c r="A146" s="82" t="str">
        <f t="shared" si="4"/>
        <v>2016</v>
      </c>
      <c r="B146" s="72" t="s">
        <v>131</v>
      </c>
      <c r="C146" s="73" t="s">
        <v>132</v>
      </c>
      <c r="D146" s="74" t="str">
        <f t="shared" si="5"/>
        <v>fev/2016</v>
      </c>
      <c r="E146" s="53">
        <v>42401</v>
      </c>
      <c r="F146" s="75" t="s">
        <v>333</v>
      </c>
      <c r="G146" s="72"/>
      <c r="H146" s="49" t="s">
        <v>282</v>
      </c>
      <c r="I146" s="49" t="s">
        <v>110</v>
      </c>
      <c r="J146" s="76">
        <v>-1241.28</v>
      </c>
      <c r="K146" s="83" t="str">
        <f>IFERROR(IFERROR(VLOOKUP(I146,'DE-PARA'!B:D,3,0),VLOOKUP(I146,'DE-PARA'!C:D,2,0)),"NÃO ENCONTRADO")</f>
        <v>Serviços</v>
      </c>
      <c r="L146" s="50" t="str">
        <f>VLOOKUP(K146,'Base -Receita-Despesa'!$B:$P,1,FALSE)</f>
        <v>Serviços</v>
      </c>
    </row>
    <row r="147" spans="1:12" ht="15" customHeight="1" x14ac:dyDescent="0.3">
      <c r="A147" s="82" t="str">
        <f t="shared" si="4"/>
        <v>2016</v>
      </c>
      <c r="B147" s="72" t="s">
        <v>131</v>
      </c>
      <c r="C147" s="73" t="s">
        <v>132</v>
      </c>
      <c r="D147" s="74" t="str">
        <f t="shared" si="5"/>
        <v>fev/2016</v>
      </c>
      <c r="E147" s="53">
        <v>42401</v>
      </c>
      <c r="F147" s="75" t="s">
        <v>334</v>
      </c>
      <c r="G147" s="72"/>
      <c r="H147" s="49" t="s">
        <v>282</v>
      </c>
      <c r="I147" s="49" t="s">
        <v>110</v>
      </c>
      <c r="J147" s="76">
        <v>-1014.14</v>
      </c>
      <c r="K147" s="83" t="str">
        <f>IFERROR(IFERROR(VLOOKUP(I147,'DE-PARA'!B:D,3,0),VLOOKUP(I147,'DE-PARA'!C:D,2,0)),"NÃO ENCONTRADO")</f>
        <v>Serviços</v>
      </c>
      <c r="L147" s="50" t="str">
        <f>VLOOKUP(K147,'Base -Receita-Despesa'!$B:$P,1,FALSE)</f>
        <v>Serviços</v>
      </c>
    </row>
    <row r="148" spans="1:12" ht="15" customHeight="1" x14ac:dyDescent="0.3">
      <c r="A148" s="82" t="str">
        <f t="shared" si="4"/>
        <v>2016</v>
      </c>
      <c r="B148" s="72" t="s">
        <v>131</v>
      </c>
      <c r="C148" s="73" t="s">
        <v>132</v>
      </c>
      <c r="D148" s="74" t="str">
        <f t="shared" si="5"/>
        <v>fev/2016</v>
      </c>
      <c r="E148" s="53">
        <v>42401</v>
      </c>
      <c r="F148" s="75" t="s">
        <v>335</v>
      </c>
      <c r="G148" s="72"/>
      <c r="H148" s="49" t="s">
        <v>235</v>
      </c>
      <c r="I148" s="49" t="s">
        <v>204</v>
      </c>
      <c r="J148" s="76">
        <v>-2500</v>
      </c>
      <c r="K148" s="83" t="str">
        <f>IFERROR(IFERROR(VLOOKUP(I148,'DE-PARA'!B:D,3,0),VLOOKUP(I148,'DE-PARA'!C:D,2,0)),"NÃO ENCONTRADO")</f>
        <v>Serviços</v>
      </c>
      <c r="L148" s="50" t="str">
        <f>VLOOKUP(K148,'Base -Receita-Despesa'!$B:$P,1,FALSE)</f>
        <v>Serviços</v>
      </c>
    </row>
    <row r="149" spans="1:12" ht="15" customHeight="1" x14ac:dyDescent="0.3">
      <c r="A149" s="82" t="str">
        <f t="shared" si="4"/>
        <v>2016</v>
      </c>
      <c r="B149" s="72" t="s">
        <v>131</v>
      </c>
      <c r="C149" s="73" t="s">
        <v>132</v>
      </c>
      <c r="D149" s="74" t="str">
        <f t="shared" si="5"/>
        <v>fev/2016</v>
      </c>
      <c r="E149" s="53">
        <v>42401</v>
      </c>
      <c r="F149" s="75" t="s">
        <v>199</v>
      </c>
      <c r="G149" s="72"/>
      <c r="H149" s="49" t="s">
        <v>248</v>
      </c>
      <c r="I149" s="49" t="s">
        <v>192</v>
      </c>
      <c r="J149" s="76">
        <v>-20.28</v>
      </c>
      <c r="K149" s="83" t="str">
        <f>IFERROR(IFERROR(VLOOKUP(I149,'DE-PARA'!B:D,3,0),VLOOKUP(I149,'DE-PARA'!C:D,2,0)),"NÃO ENCONTRADO")</f>
        <v>Materiais</v>
      </c>
      <c r="L149" s="50" t="str">
        <f>VLOOKUP(K149,'Base -Receita-Despesa'!$B:$P,1,FALSE)</f>
        <v>Materiais</v>
      </c>
    </row>
    <row r="150" spans="1:12" ht="15" customHeight="1" x14ac:dyDescent="0.3">
      <c r="A150" s="82" t="str">
        <f t="shared" si="4"/>
        <v>2016</v>
      </c>
      <c r="B150" s="72" t="s">
        <v>131</v>
      </c>
      <c r="C150" s="73" t="s">
        <v>132</v>
      </c>
      <c r="D150" s="74" t="str">
        <f t="shared" si="5"/>
        <v>fev/2016</v>
      </c>
      <c r="E150" s="53">
        <v>42401</v>
      </c>
      <c r="F150" s="75" t="s">
        <v>142</v>
      </c>
      <c r="G150" s="72"/>
      <c r="H150" s="49" t="s">
        <v>336</v>
      </c>
      <c r="I150" s="49" t="s">
        <v>144</v>
      </c>
      <c r="J150" s="76">
        <v>-1772.2</v>
      </c>
      <c r="K150" s="83" t="str">
        <f>IFERROR(IFERROR(VLOOKUP(I150,'DE-PARA'!B:D,3,0),VLOOKUP(I150,'DE-PARA'!C:D,2,0)),"NÃO ENCONTRADO")</f>
        <v>Concessionárias (água, luz e telefone)</v>
      </c>
      <c r="L150" s="50" t="str">
        <f>VLOOKUP(K150,'Base -Receita-Despesa'!$B:$P,1,FALSE)</f>
        <v>Concessionárias (água, luz e telefone)</v>
      </c>
    </row>
    <row r="151" spans="1:12" ht="15" customHeight="1" x14ac:dyDescent="0.3">
      <c r="A151" s="82" t="str">
        <f t="shared" si="4"/>
        <v>2016</v>
      </c>
      <c r="B151" s="72" t="s">
        <v>131</v>
      </c>
      <c r="C151" s="73" t="s">
        <v>132</v>
      </c>
      <c r="D151" s="74" t="str">
        <f t="shared" si="5"/>
        <v>fev/2016</v>
      </c>
      <c r="E151" s="53">
        <v>42401</v>
      </c>
      <c r="F151" s="75" t="s">
        <v>337</v>
      </c>
      <c r="G151" s="72"/>
      <c r="H151" s="49" t="s">
        <v>225</v>
      </c>
      <c r="I151" s="49" t="s">
        <v>110</v>
      </c>
      <c r="J151" s="76">
        <v>-1400</v>
      </c>
      <c r="K151" s="83" t="str">
        <f>IFERROR(IFERROR(VLOOKUP(I151,'DE-PARA'!B:D,3,0),VLOOKUP(I151,'DE-PARA'!C:D,2,0)),"NÃO ENCONTRADO")</f>
        <v>Serviços</v>
      </c>
      <c r="L151" s="50" t="str">
        <f>VLOOKUP(K151,'Base -Receita-Despesa'!$B:$P,1,FALSE)</f>
        <v>Serviços</v>
      </c>
    </row>
    <row r="152" spans="1:12" ht="15" customHeight="1" x14ac:dyDescent="0.3">
      <c r="A152" s="82" t="str">
        <f t="shared" si="4"/>
        <v>2016</v>
      </c>
      <c r="B152" s="72" t="s">
        <v>131</v>
      </c>
      <c r="C152" s="73" t="s">
        <v>132</v>
      </c>
      <c r="D152" s="74" t="str">
        <f t="shared" si="5"/>
        <v>fev/2016</v>
      </c>
      <c r="E152" s="53">
        <v>42401</v>
      </c>
      <c r="F152" s="75" t="s">
        <v>338</v>
      </c>
      <c r="G152" s="72"/>
      <c r="H152" s="49" t="s">
        <v>213</v>
      </c>
      <c r="I152" s="49" t="s">
        <v>159</v>
      </c>
      <c r="J152" s="76">
        <v>-980.64</v>
      </c>
      <c r="K152" s="83" t="str">
        <f>IFERROR(IFERROR(VLOOKUP(I152,'DE-PARA'!B:D,3,0),VLOOKUP(I152,'DE-PARA'!C:D,2,0)),"NÃO ENCONTRADO")</f>
        <v>Materiais</v>
      </c>
      <c r="L152" s="50" t="str">
        <f>VLOOKUP(K152,'Base -Receita-Despesa'!$B:$P,1,FALSE)</f>
        <v>Materiais</v>
      </c>
    </row>
    <row r="153" spans="1:12" ht="15" customHeight="1" x14ac:dyDescent="0.3">
      <c r="A153" s="82" t="str">
        <f t="shared" si="4"/>
        <v>2016</v>
      </c>
      <c r="B153" s="72" t="s">
        <v>131</v>
      </c>
      <c r="C153" s="73" t="s">
        <v>132</v>
      </c>
      <c r="D153" s="74" t="str">
        <f t="shared" si="5"/>
        <v>fev/2016</v>
      </c>
      <c r="E153" s="53">
        <v>42401</v>
      </c>
      <c r="F153" s="75" t="s">
        <v>339</v>
      </c>
      <c r="G153" s="72"/>
      <c r="H153" s="49" t="s">
        <v>213</v>
      </c>
      <c r="I153" s="49" t="s">
        <v>159</v>
      </c>
      <c r="J153" s="76">
        <v>-460.86</v>
      </c>
      <c r="K153" s="83" t="str">
        <f>IFERROR(IFERROR(VLOOKUP(I153,'DE-PARA'!B:D,3,0),VLOOKUP(I153,'DE-PARA'!C:D,2,0)),"NÃO ENCONTRADO")</f>
        <v>Materiais</v>
      </c>
      <c r="L153" s="50" t="str">
        <f>VLOOKUP(K153,'Base -Receita-Despesa'!$B:$P,1,FALSE)</f>
        <v>Materiais</v>
      </c>
    </row>
    <row r="154" spans="1:12" ht="15" customHeight="1" x14ac:dyDescent="0.3">
      <c r="A154" s="82" t="str">
        <f t="shared" si="4"/>
        <v>2016</v>
      </c>
      <c r="B154" s="72" t="s">
        <v>131</v>
      </c>
      <c r="C154" s="73" t="s">
        <v>132</v>
      </c>
      <c r="D154" s="74" t="str">
        <f t="shared" si="5"/>
        <v>fev/2016</v>
      </c>
      <c r="E154" s="53">
        <v>42401</v>
      </c>
      <c r="F154" s="75" t="s">
        <v>340</v>
      </c>
      <c r="G154" s="72"/>
      <c r="H154" s="49" t="s">
        <v>215</v>
      </c>
      <c r="I154" s="49" t="s">
        <v>167</v>
      </c>
      <c r="J154" s="76">
        <v>-684.82</v>
      </c>
      <c r="K154" s="83" t="str">
        <f>IFERROR(IFERROR(VLOOKUP(I154,'DE-PARA'!B:D,3,0),VLOOKUP(I154,'DE-PARA'!C:D,2,0)),"NÃO ENCONTRADO")</f>
        <v>Materiais</v>
      </c>
      <c r="L154" s="50" t="str">
        <f>VLOOKUP(K154,'Base -Receita-Despesa'!$B:$P,1,FALSE)</f>
        <v>Materiais</v>
      </c>
    </row>
    <row r="155" spans="1:12" ht="15" customHeight="1" x14ac:dyDescent="0.3">
      <c r="A155" s="82" t="str">
        <f t="shared" si="4"/>
        <v>2016</v>
      </c>
      <c r="B155" s="72" t="s">
        <v>131</v>
      </c>
      <c r="C155" s="73" t="s">
        <v>132</v>
      </c>
      <c r="D155" s="74" t="str">
        <f t="shared" si="5"/>
        <v>fev/2016</v>
      </c>
      <c r="E155" s="53">
        <v>42401</v>
      </c>
      <c r="F155" s="75" t="s">
        <v>122</v>
      </c>
      <c r="G155" s="72"/>
      <c r="H155" s="49" t="s">
        <v>341</v>
      </c>
      <c r="I155" s="49" t="s">
        <v>124</v>
      </c>
      <c r="J155" s="76">
        <v>-900.94</v>
      </c>
      <c r="K155" s="83" t="str">
        <f>IFERROR(IFERROR(VLOOKUP(I155,'DE-PARA'!B:D,3,0),VLOOKUP(I155,'DE-PARA'!C:D,2,0)),"NÃO ENCONTRADO")</f>
        <v>Rescisões Trabalhistas</v>
      </c>
      <c r="L155" s="50" t="str">
        <f>VLOOKUP(K155,'Base -Receita-Despesa'!$B:$P,1,FALSE)</f>
        <v>Rescisões Trabalhistas</v>
      </c>
    </row>
    <row r="156" spans="1:12" ht="15" customHeight="1" x14ac:dyDescent="0.3">
      <c r="A156" s="82" t="str">
        <f t="shared" si="4"/>
        <v>2016</v>
      </c>
      <c r="B156" s="72" t="s">
        <v>131</v>
      </c>
      <c r="C156" s="73" t="s">
        <v>132</v>
      </c>
      <c r="D156" s="74" t="str">
        <f t="shared" si="5"/>
        <v>fev/2016</v>
      </c>
      <c r="E156" s="53">
        <v>42401</v>
      </c>
      <c r="F156" s="75" t="s">
        <v>342</v>
      </c>
      <c r="G156" s="72"/>
      <c r="H156" s="49" t="s">
        <v>229</v>
      </c>
      <c r="I156" s="49" t="s">
        <v>159</v>
      </c>
      <c r="J156" s="76">
        <v>-1019.7</v>
      </c>
      <c r="K156" s="83" t="str">
        <f>IFERROR(IFERROR(VLOOKUP(I156,'DE-PARA'!B:D,3,0),VLOOKUP(I156,'DE-PARA'!C:D,2,0)),"NÃO ENCONTRADO")</f>
        <v>Materiais</v>
      </c>
      <c r="L156" s="50" t="str">
        <f>VLOOKUP(K156,'Base -Receita-Despesa'!$B:$P,1,FALSE)</f>
        <v>Materiais</v>
      </c>
    </row>
    <row r="157" spans="1:12" ht="15" customHeight="1" x14ac:dyDescent="0.3">
      <c r="A157" s="82" t="str">
        <f t="shared" si="4"/>
        <v>2016</v>
      </c>
      <c r="B157" s="72" t="s">
        <v>131</v>
      </c>
      <c r="C157" s="73" t="s">
        <v>132</v>
      </c>
      <c r="D157" s="74" t="str">
        <f t="shared" si="5"/>
        <v>fev/2016</v>
      </c>
      <c r="E157" s="53">
        <v>42401</v>
      </c>
      <c r="F157" s="75" t="s">
        <v>343</v>
      </c>
      <c r="G157" s="72"/>
      <c r="H157" s="49" t="s">
        <v>229</v>
      </c>
      <c r="I157" s="49" t="s">
        <v>159</v>
      </c>
      <c r="J157" s="76">
        <v>-1499.07</v>
      </c>
      <c r="K157" s="83" t="str">
        <f>IFERROR(IFERROR(VLOOKUP(I157,'DE-PARA'!B:D,3,0),VLOOKUP(I157,'DE-PARA'!C:D,2,0)),"NÃO ENCONTRADO")</f>
        <v>Materiais</v>
      </c>
      <c r="L157" s="50" t="str">
        <f>VLOOKUP(K157,'Base -Receita-Despesa'!$B:$P,1,FALSE)</f>
        <v>Materiais</v>
      </c>
    </row>
    <row r="158" spans="1:12" ht="15" customHeight="1" x14ac:dyDescent="0.3">
      <c r="A158" s="82" t="str">
        <f t="shared" si="4"/>
        <v>2016</v>
      </c>
      <c r="B158" s="72" t="s">
        <v>131</v>
      </c>
      <c r="C158" s="73" t="s">
        <v>132</v>
      </c>
      <c r="D158" s="74" t="str">
        <f t="shared" si="5"/>
        <v>fev/2016</v>
      </c>
      <c r="E158" s="53">
        <v>42401</v>
      </c>
      <c r="F158" s="75" t="s">
        <v>344</v>
      </c>
      <c r="G158" s="72"/>
      <c r="H158" s="49" t="s">
        <v>229</v>
      </c>
      <c r="I158" s="49" t="s">
        <v>159</v>
      </c>
      <c r="J158" s="76">
        <v>-1864.87</v>
      </c>
      <c r="K158" s="83" t="str">
        <f>IFERROR(IFERROR(VLOOKUP(I158,'DE-PARA'!B:D,3,0),VLOOKUP(I158,'DE-PARA'!C:D,2,0)),"NÃO ENCONTRADO")</f>
        <v>Materiais</v>
      </c>
      <c r="L158" s="50" t="str">
        <f>VLOOKUP(K158,'Base -Receita-Despesa'!$B:$P,1,FALSE)</f>
        <v>Materiais</v>
      </c>
    </row>
    <row r="159" spans="1:12" ht="15" customHeight="1" x14ac:dyDescent="0.3">
      <c r="A159" s="82" t="str">
        <f t="shared" si="4"/>
        <v>2016</v>
      </c>
      <c r="B159" s="72" t="s">
        <v>131</v>
      </c>
      <c r="C159" s="73" t="s">
        <v>132</v>
      </c>
      <c r="D159" s="74" t="str">
        <f t="shared" si="5"/>
        <v>fev/2016</v>
      </c>
      <c r="E159" s="53">
        <v>42401</v>
      </c>
      <c r="F159" s="75" t="s">
        <v>345</v>
      </c>
      <c r="G159" s="72"/>
      <c r="H159" s="49" t="s">
        <v>229</v>
      </c>
      <c r="I159" s="49" t="s">
        <v>159</v>
      </c>
      <c r="J159" s="76">
        <v>-2932.91</v>
      </c>
      <c r="K159" s="83" t="str">
        <f>IFERROR(IFERROR(VLOOKUP(I159,'DE-PARA'!B:D,3,0),VLOOKUP(I159,'DE-PARA'!C:D,2,0)),"NÃO ENCONTRADO")</f>
        <v>Materiais</v>
      </c>
      <c r="L159" s="50" t="str">
        <f>VLOOKUP(K159,'Base -Receita-Despesa'!$B:$P,1,FALSE)</f>
        <v>Materiais</v>
      </c>
    </row>
    <row r="160" spans="1:12" ht="15" customHeight="1" x14ac:dyDescent="0.3">
      <c r="A160" s="82" t="str">
        <f t="shared" si="4"/>
        <v>2016</v>
      </c>
      <c r="B160" s="72" t="s">
        <v>131</v>
      </c>
      <c r="C160" s="73" t="s">
        <v>132</v>
      </c>
      <c r="D160" s="74" t="str">
        <f t="shared" si="5"/>
        <v>fev/2016</v>
      </c>
      <c r="E160" s="53">
        <v>42401</v>
      </c>
      <c r="F160" s="75" t="s">
        <v>346</v>
      </c>
      <c r="G160" s="72"/>
      <c r="H160" s="49" t="s">
        <v>190</v>
      </c>
      <c r="I160" s="49" t="s">
        <v>191</v>
      </c>
      <c r="J160" s="76">
        <v>-3190.9</v>
      </c>
      <c r="K160" s="83" t="str">
        <f>IFERROR(IFERROR(VLOOKUP(I160,'DE-PARA'!B:D,3,0),VLOOKUP(I160,'DE-PARA'!C:D,2,0)),"NÃO ENCONTRADO")</f>
        <v>Serviços</v>
      </c>
      <c r="L160" s="50" t="str">
        <f>VLOOKUP(K160,'Base -Receita-Despesa'!$B:$P,1,FALSE)</f>
        <v>Serviços</v>
      </c>
    </row>
    <row r="161" spans="1:12" ht="15" customHeight="1" x14ac:dyDescent="0.3">
      <c r="A161" s="82" t="str">
        <f t="shared" si="4"/>
        <v>2016</v>
      </c>
      <c r="B161" s="72" t="s">
        <v>249</v>
      </c>
      <c r="C161" s="73" t="s">
        <v>132</v>
      </c>
      <c r="D161" s="74" t="str">
        <f t="shared" si="5"/>
        <v>fev/2016</v>
      </c>
      <c r="E161" s="53">
        <v>42401</v>
      </c>
      <c r="F161" s="75"/>
      <c r="G161" s="72"/>
      <c r="H161" s="49"/>
      <c r="I161" s="49" t="s">
        <v>135</v>
      </c>
      <c r="J161" s="76">
        <v>2535.4773435888301</v>
      </c>
      <c r="K161" s="83" t="str">
        <f>IFERROR(IFERROR(VLOOKUP(I161,'DE-PARA'!B:D,3,0),VLOOKUP(I161,'DE-PARA'!C:D,2,0)),"NÃO ENCONTRADO")</f>
        <v>Pessoal</v>
      </c>
      <c r="L161" s="50" t="str">
        <f>VLOOKUP(K161,'Base -Receita-Despesa'!$B:$P,1,FALSE)</f>
        <v>Pessoal</v>
      </c>
    </row>
    <row r="162" spans="1:12" ht="15" customHeight="1" x14ac:dyDescent="0.3">
      <c r="A162" s="82" t="str">
        <f t="shared" si="4"/>
        <v>2016</v>
      </c>
      <c r="B162" s="72" t="s">
        <v>131</v>
      </c>
      <c r="C162" s="73" t="s">
        <v>132</v>
      </c>
      <c r="D162" s="74" t="str">
        <f t="shared" si="5"/>
        <v>fev/2016</v>
      </c>
      <c r="E162" s="53">
        <v>42402</v>
      </c>
      <c r="F162" s="75" t="s">
        <v>347</v>
      </c>
      <c r="G162" s="72"/>
      <c r="H162" s="49" t="s">
        <v>348</v>
      </c>
      <c r="I162" s="49" t="s">
        <v>159</v>
      </c>
      <c r="J162" s="76">
        <v>-4437.8</v>
      </c>
      <c r="K162" s="83" t="str">
        <f>IFERROR(IFERROR(VLOOKUP(I162,'DE-PARA'!B:D,3,0),VLOOKUP(I162,'DE-PARA'!C:D,2,0)),"NÃO ENCONTRADO")</f>
        <v>Materiais</v>
      </c>
      <c r="L162" s="50" t="str">
        <f>VLOOKUP(K162,'Base -Receita-Despesa'!$B:$P,1,FALSE)</f>
        <v>Materiais</v>
      </c>
    </row>
    <row r="163" spans="1:12" ht="15" customHeight="1" x14ac:dyDescent="0.3">
      <c r="A163" s="82" t="str">
        <f t="shared" si="4"/>
        <v>2016</v>
      </c>
      <c r="B163" s="72" t="s">
        <v>131</v>
      </c>
      <c r="C163" s="73" t="s">
        <v>132</v>
      </c>
      <c r="D163" s="74" t="str">
        <f t="shared" si="5"/>
        <v>fev/2016</v>
      </c>
      <c r="E163" s="53">
        <v>42402</v>
      </c>
      <c r="F163" s="75" t="s">
        <v>349</v>
      </c>
      <c r="G163" s="72"/>
      <c r="H163" s="49" t="s">
        <v>161</v>
      </c>
      <c r="I163" s="49" t="s">
        <v>159</v>
      </c>
      <c r="J163" s="76">
        <v>-700.86</v>
      </c>
      <c r="K163" s="83" t="str">
        <f>IFERROR(IFERROR(VLOOKUP(I163,'DE-PARA'!B:D,3,0),VLOOKUP(I163,'DE-PARA'!C:D,2,0)),"NÃO ENCONTRADO")</f>
        <v>Materiais</v>
      </c>
      <c r="L163" s="50" t="str">
        <f>VLOOKUP(K163,'Base -Receita-Despesa'!$B:$P,1,FALSE)</f>
        <v>Materiais</v>
      </c>
    </row>
    <row r="164" spans="1:12" ht="15" customHeight="1" x14ac:dyDescent="0.3">
      <c r="A164" s="82" t="str">
        <f t="shared" si="4"/>
        <v>2016</v>
      </c>
      <c r="B164" s="72" t="s">
        <v>131</v>
      </c>
      <c r="C164" s="73" t="s">
        <v>132</v>
      </c>
      <c r="D164" s="74" t="str">
        <f t="shared" si="5"/>
        <v>fev/2016</v>
      </c>
      <c r="E164" s="53">
        <v>42402</v>
      </c>
      <c r="F164" s="75" t="s">
        <v>350</v>
      </c>
      <c r="G164" s="72"/>
      <c r="H164" s="49" t="s">
        <v>161</v>
      </c>
      <c r="I164" s="49" t="s">
        <v>159</v>
      </c>
      <c r="J164" s="76">
        <v>-1082.5999999999999</v>
      </c>
      <c r="K164" s="83" t="str">
        <f>IFERROR(IFERROR(VLOOKUP(I164,'DE-PARA'!B:D,3,0),VLOOKUP(I164,'DE-PARA'!C:D,2,0)),"NÃO ENCONTRADO")</f>
        <v>Materiais</v>
      </c>
      <c r="L164" s="50" t="str">
        <f>VLOOKUP(K164,'Base -Receita-Despesa'!$B:$P,1,FALSE)</f>
        <v>Materiais</v>
      </c>
    </row>
    <row r="165" spans="1:12" ht="15" customHeight="1" x14ac:dyDescent="0.3">
      <c r="A165" s="82" t="str">
        <f t="shared" si="4"/>
        <v>2016</v>
      </c>
      <c r="B165" s="72" t="s">
        <v>131</v>
      </c>
      <c r="C165" s="73" t="s">
        <v>132</v>
      </c>
      <c r="D165" s="74" t="str">
        <f t="shared" si="5"/>
        <v>fev/2016</v>
      </c>
      <c r="E165" s="53">
        <v>42402</v>
      </c>
      <c r="F165" s="75" t="s">
        <v>136</v>
      </c>
      <c r="G165" s="72"/>
      <c r="H165" s="49" t="s">
        <v>149</v>
      </c>
      <c r="I165" s="49" t="s">
        <v>129</v>
      </c>
      <c r="J165" s="76">
        <v>-7.85</v>
      </c>
      <c r="K165" s="83" t="str">
        <f>IFERROR(IFERROR(VLOOKUP(I165,'DE-PARA'!B:D,3,0),VLOOKUP(I165,'DE-PARA'!C:D,2,0)),"NÃO ENCONTRADO")</f>
        <v>Outras Saídas</v>
      </c>
      <c r="L165" s="50" t="str">
        <f>VLOOKUP(K165,'Base -Receita-Despesa'!$B:$P,1,FALSE)</f>
        <v>Outras Saídas</v>
      </c>
    </row>
    <row r="166" spans="1:12" ht="15" customHeight="1" x14ac:dyDescent="0.3">
      <c r="A166" s="82" t="str">
        <f t="shared" si="4"/>
        <v>2016</v>
      </c>
      <c r="B166" s="72" t="s">
        <v>131</v>
      </c>
      <c r="C166" s="73" t="s">
        <v>132</v>
      </c>
      <c r="D166" s="74" t="str">
        <f t="shared" si="5"/>
        <v>fev/2016</v>
      </c>
      <c r="E166" s="53">
        <v>42402</v>
      </c>
      <c r="F166" s="75" t="s">
        <v>136</v>
      </c>
      <c r="G166" s="72"/>
      <c r="H166" s="49" t="s">
        <v>149</v>
      </c>
      <c r="I166" s="49" t="s">
        <v>129</v>
      </c>
      <c r="J166" s="76">
        <v>-7.85</v>
      </c>
      <c r="K166" s="83" t="str">
        <f>IFERROR(IFERROR(VLOOKUP(I166,'DE-PARA'!B:D,3,0),VLOOKUP(I166,'DE-PARA'!C:D,2,0)),"NÃO ENCONTRADO")</f>
        <v>Outras Saídas</v>
      </c>
      <c r="L166" s="50" t="str">
        <f>VLOOKUP(K166,'Base -Receita-Despesa'!$B:$P,1,FALSE)</f>
        <v>Outras Saídas</v>
      </c>
    </row>
    <row r="167" spans="1:12" ht="15" customHeight="1" x14ac:dyDescent="0.3">
      <c r="A167" s="82" t="str">
        <f t="shared" si="4"/>
        <v>2016</v>
      </c>
      <c r="B167" s="72" t="s">
        <v>131</v>
      </c>
      <c r="C167" s="73" t="s">
        <v>132</v>
      </c>
      <c r="D167" s="74" t="str">
        <f t="shared" si="5"/>
        <v>fev/2016</v>
      </c>
      <c r="E167" s="53">
        <v>42402</v>
      </c>
      <c r="F167" s="75" t="s">
        <v>351</v>
      </c>
      <c r="G167" s="72"/>
      <c r="H167" s="49" t="s">
        <v>233</v>
      </c>
      <c r="I167" s="49" t="s">
        <v>110</v>
      </c>
      <c r="J167" s="76">
        <v>-452</v>
      </c>
      <c r="K167" s="83" t="str">
        <f>IFERROR(IFERROR(VLOOKUP(I167,'DE-PARA'!B:D,3,0),VLOOKUP(I167,'DE-PARA'!C:D,2,0)),"NÃO ENCONTRADO")</f>
        <v>Serviços</v>
      </c>
      <c r="L167" s="50" t="str">
        <f>VLOOKUP(K167,'Base -Receita-Despesa'!$B:$P,1,FALSE)</f>
        <v>Serviços</v>
      </c>
    </row>
    <row r="168" spans="1:12" ht="15" customHeight="1" x14ac:dyDescent="0.3">
      <c r="A168" s="82" t="str">
        <f t="shared" si="4"/>
        <v>2016</v>
      </c>
      <c r="B168" s="72" t="s">
        <v>131</v>
      </c>
      <c r="C168" s="73" t="s">
        <v>132</v>
      </c>
      <c r="D168" s="74" t="str">
        <f t="shared" si="5"/>
        <v>fev/2016</v>
      </c>
      <c r="E168" s="53">
        <v>42402</v>
      </c>
      <c r="F168" s="75" t="s">
        <v>352</v>
      </c>
      <c r="G168" s="72"/>
      <c r="H168" s="49" t="s">
        <v>353</v>
      </c>
      <c r="I168" s="49" t="s">
        <v>159</v>
      </c>
      <c r="J168" s="76">
        <v>-423.25</v>
      </c>
      <c r="K168" s="83" t="str">
        <f>IFERROR(IFERROR(VLOOKUP(I168,'DE-PARA'!B:D,3,0),VLOOKUP(I168,'DE-PARA'!C:D,2,0)),"NÃO ENCONTRADO")</f>
        <v>Materiais</v>
      </c>
      <c r="L168" s="50" t="str">
        <f>VLOOKUP(K168,'Base -Receita-Despesa'!$B:$P,1,FALSE)</f>
        <v>Materiais</v>
      </c>
    </row>
    <row r="169" spans="1:12" ht="15" customHeight="1" x14ac:dyDescent="0.3">
      <c r="A169" s="82" t="str">
        <f t="shared" si="4"/>
        <v>2016</v>
      </c>
      <c r="B169" s="72" t="s">
        <v>131</v>
      </c>
      <c r="C169" s="73" t="s">
        <v>132</v>
      </c>
      <c r="D169" s="74" t="str">
        <f t="shared" si="5"/>
        <v>fev/2016</v>
      </c>
      <c r="E169" s="53">
        <v>42402</v>
      </c>
      <c r="F169" s="75" t="s">
        <v>354</v>
      </c>
      <c r="G169" s="72"/>
      <c r="H169" s="49" t="s">
        <v>166</v>
      </c>
      <c r="I169" s="49" t="s">
        <v>167</v>
      </c>
      <c r="J169" s="76">
        <v>-593.86</v>
      </c>
      <c r="K169" s="83" t="str">
        <f>IFERROR(IFERROR(VLOOKUP(I169,'DE-PARA'!B:D,3,0),VLOOKUP(I169,'DE-PARA'!C:D,2,0)),"NÃO ENCONTRADO")</f>
        <v>Materiais</v>
      </c>
      <c r="L169" s="50" t="str">
        <f>VLOOKUP(K169,'Base -Receita-Despesa'!$B:$P,1,FALSE)</f>
        <v>Materiais</v>
      </c>
    </row>
    <row r="170" spans="1:12" ht="15" customHeight="1" x14ac:dyDescent="0.3">
      <c r="A170" s="82" t="str">
        <f t="shared" si="4"/>
        <v>2016</v>
      </c>
      <c r="B170" s="72" t="s">
        <v>131</v>
      </c>
      <c r="C170" s="73" t="s">
        <v>132</v>
      </c>
      <c r="D170" s="74" t="str">
        <f t="shared" si="5"/>
        <v>fev/2016</v>
      </c>
      <c r="E170" s="53">
        <v>42402</v>
      </c>
      <c r="F170" s="75" t="s">
        <v>355</v>
      </c>
      <c r="G170" s="72"/>
      <c r="H170" s="49" t="s">
        <v>166</v>
      </c>
      <c r="I170" s="49" t="s">
        <v>167</v>
      </c>
      <c r="J170" s="76">
        <v>-810.54</v>
      </c>
      <c r="K170" s="83" t="str">
        <f>IFERROR(IFERROR(VLOOKUP(I170,'DE-PARA'!B:D,3,0),VLOOKUP(I170,'DE-PARA'!C:D,2,0)),"NÃO ENCONTRADO")</f>
        <v>Materiais</v>
      </c>
      <c r="L170" s="50" t="str">
        <f>VLOOKUP(K170,'Base -Receita-Despesa'!$B:$P,1,FALSE)</f>
        <v>Materiais</v>
      </c>
    </row>
    <row r="171" spans="1:12" ht="15" customHeight="1" x14ac:dyDescent="0.3">
      <c r="A171" s="82" t="str">
        <f t="shared" si="4"/>
        <v>2016</v>
      </c>
      <c r="B171" s="72" t="s">
        <v>131</v>
      </c>
      <c r="C171" s="73" t="s">
        <v>132</v>
      </c>
      <c r="D171" s="74" t="str">
        <f t="shared" si="5"/>
        <v>fev/2016</v>
      </c>
      <c r="E171" s="53">
        <v>42402</v>
      </c>
      <c r="F171" s="75" t="s">
        <v>356</v>
      </c>
      <c r="G171" s="72"/>
      <c r="H171" s="49" t="s">
        <v>229</v>
      </c>
      <c r="I171" s="49" t="s">
        <v>159</v>
      </c>
      <c r="J171" s="76">
        <v>-542.38</v>
      </c>
      <c r="K171" s="83" t="str">
        <f>IFERROR(IFERROR(VLOOKUP(I171,'DE-PARA'!B:D,3,0),VLOOKUP(I171,'DE-PARA'!C:D,2,0)),"NÃO ENCONTRADO")</f>
        <v>Materiais</v>
      </c>
      <c r="L171" s="50" t="str">
        <f>VLOOKUP(K171,'Base -Receita-Despesa'!$B:$P,1,FALSE)</f>
        <v>Materiais</v>
      </c>
    </row>
    <row r="172" spans="1:12" ht="15" customHeight="1" x14ac:dyDescent="0.3">
      <c r="A172" s="82" t="str">
        <f t="shared" si="4"/>
        <v>2016</v>
      </c>
      <c r="B172" s="72" t="s">
        <v>131</v>
      </c>
      <c r="C172" s="73" t="s">
        <v>132</v>
      </c>
      <c r="D172" s="74" t="str">
        <f t="shared" si="5"/>
        <v>fev/2016</v>
      </c>
      <c r="E172" s="53">
        <v>42403</v>
      </c>
      <c r="F172" s="75" t="s">
        <v>357</v>
      </c>
      <c r="G172" s="72"/>
      <c r="H172" s="49" t="s">
        <v>358</v>
      </c>
      <c r="I172" s="49" t="s">
        <v>159</v>
      </c>
      <c r="J172" s="76">
        <v>-254.21</v>
      </c>
      <c r="K172" s="83" t="str">
        <f>IFERROR(IFERROR(VLOOKUP(I172,'DE-PARA'!B:D,3,0),VLOOKUP(I172,'DE-PARA'!C:D,2,0)),"NÃO ENCONTRADO")</f>
        <v>Materiais</v>
      </c>
      <c r="L172" s="50" t="str">
        <f>VLOOKUP(K172,'Base -Receita-Despesa'!$B:$P,1,FALSE)</f>
        <v>Materiais</v>
      </c>
    </row>
    <row r="173" spans="1:12" ht="15" customHeight="1" x14ac:dyDescent="0.3">
      <c r="A173" s="82" t="str">
        <f t="shared" si="4"/>
        <v>2016</v>
      </c>
      <c r="B173" s="72" t="s">
        <v>131</v>
      </c>
      <c r="C173" s="73" t="s">
        <v>132</v>
      </c>
      <c r="D173" s="74" t="str">
        <f t="shared" si="5"/>
        <v>fev/2016</v>
      </c>
      <c r="E173" s="53">
        <v>42403</v>
      </c>
      <c r="F173" s="75" t="s">
        <v>359</v>
      </c>
      <c r="G173" s="72"/>
      <c r="H173" s="49" t="s">
        <v>360</v>
      </c>
      <c r="I173" s="49" t="s">
        <v>111</v>
      </c>
      <c r="J173" s="76">
        <v>-9714</v>
      </c>
      <c r="K173" s="83" t="str">
        <f>IFERROR(IFERROR(VLOOKUP(I173,'DE-PARA'!B:D,3,0),VLOOKUP(I173,'DE-PARA'!C:D,2,0)),"NÃO ENCONTRADO")</f>
        <v>Serviços</v>
      </c>
      <c r="L173" s="50" t="str">
        <f>VLOOKUP(K173,'Base -Receita-Despesa'!$B:$P,1,FALSE)</f>
        <v>Serviços</v>
      </c>
    </row>
    <row r="174" spans="1:12" ht="15" customHeight="1" x14ac:dyDescent="0.3">
      <c r="A174" s="82" t="str">
        <f t="shared" si="4"/>
        <v>2016</v>
      </c>
      <c r="B174" s="72" t="s">
        <v>131</v>
      </c>
      <c r="C174" s="73" t="s">
        <v>132</v>
      </c>
      <c r="D174" s="74" t="str">
        <f t="shared" si="5"/>
        <v>fev/2016</v>
      </c>
      <c r="E174" s="53">
        <v>42403</v>
      </c>
      <c r="F174" s="75" t="s">
        <v>361</v>
      </c>
      <c r="G174" s="72"/>
      <c r="H174" s="49" t="s">
        <v>360</v>
      </c>
      <c r="I174" s="49" t="s">
        <v>111</v>
      </c>
      <c r="J174" s="76">
        <v>-1918</v>
      </c>
      <c r="K174" s="83" t="str">
        <f>IFERROR(IFERROR(VLOOKUP(I174,'DE-PARA'!B:D,3,0),VLOOKUP(I174,'DE-PARA'!C:D,2,0)),"NÃO ENCONTRADO")</f>
        <v>Serviços</v>
      </c>
      <c r="L174" s="50" t="str">
        <f>VLOOKUP(K174,'Base -Receita-Despesa'!$B:$P,1,FALSE)</f>
        <v>Serviços</v>
      </c>
    </row>
    <row r="175" spans="1:12" ht="15" customHeight="1" x14ac:dyDescent="0.3">
      <c r="A175" s="82" t="str">
        <f t="shared" si="4"/>
        <v>2016</v>
      </c>
      <c r="B175" s="72" t="s">
        <v>131</v>
      </c>
      <c r="C175" s="73" t="s">
        <v>132</v>
      </c>
      <c r="D175" s="74" t="str">
        <f t="shared" si="5"/>
        <v>fev/2016</v>
      </c>
      <c r="E175" s="53">
        <v>42403</v>
      </c>
      <c r="F175" s="75" t="s">
        <v>123</v>
      </c>
      <c r="G175" s="72"/>
      <c r="H175" s="49" t="s">
        <v>362</v>
      </c>
      <c r="I175" s="49" t="s">
        <v>124</v>
      </c>
      <c r="J175" s="76">
        <v>-4580.25</v>
      </c>
      <c r="K175" s="83" t="str">
        <f>IFERROR(IFERROR(VLOOKUP(I175,'DE-PARA'!B:D,3,0),VLOOKUP(I175,'DE-PARA'!C:D,2,0)),"NÃO ENCONTRADO")</f>
        <v>Rescisões Trabalhistas</v>
      </c>
      <c r="L175" s="50" t="str">
        <f>VLOOKUP(K175,'Base -Receita-Despesa'!$B:$P,1,FALSE)</f>
        <v>Rescisões Trabalhistas</v>
      </c>
    </row>
    <row r="176" spans="1:12" ht="15" customHeight="1" x14ac:dyDescent="0.3">
      <c r="A176" s="82" t="str">
        <f t="shared" si="4"/>
        <v>2016</v>
      </c>
      <c r="B176" s="72" t="s">
        <v>131</v>
      </c>
      <c r="C176" s="73" t="s">
        <v>132</v>
      </c>
      <c r="D176" s="74" t="str">
        <f t="shared" si="5"/>
        <v>fev/2016</v>
      </c>
      <c r="E176" s="53">
        <v>42404</v>
      </c>
      <c r="F176" s="75" t="s">
        <v>363</v>
      </c>
      <c r="G176" s="72"/>
      <c r="H176" s="49" t="s">
        <v>183</v>
      </c>
      <c r="I176" s="49" t="s">
        <v>159</v>
      </c>
      <c r="J176" s="76">
        <v>-1025.23</v>
      </c>
      <c r="K176" s="83" t="str">
        <f>IFERROR(IFERROR(VLOOKUP(I176,'DE-PARA'!B:D,3,0),VLOOKUP(I176,'DE-PARA'!C:D,2,0)),"NÃO ENCONTRADO")</f>
        <v>Materiais</v>
      </c>
      <c r="L176" s="50" t="str">
        <f>VLOOKUP(K176,'Base -Receita-Despesa'!$B:$P,1,FALSE)</f>
        <v>Materiais</v>
      </c>
    </row>
    <row r="177" spans="1:12" ht="15" customHeight="1" x14ac:dyDescent="0.3">
      <c r="A177" s="82" t="str">
        <f t="shared" si="4"/>
        <v>2016</v>
      </c>
      <c r="B177" s="72" t="s">
        <v>131</v>
      </c>
      <c r="C177" s="73" t="s">
        <v>132</v>
      </c>
      <c r="D177" s="74" t="str">
        <f t="shared" si="5"/>
        <v>fev/2016</v>
      </c>
      <c r="E177" s="53">
        <v>42404</v>
      </c>
      <c r="F177" s="75" t="s">
        <v>364</v>
      </c>
      <c r="G177" s="72"/>
      <c r="H177" s="49" t="s">
        <v>183</v>
      </c>
      <c r="I177" s="49" t="s">
        <v>159</v>
      </c>
      <c r="J177" s="76">
        <v>-748.36</v>
      </c>
      <c r="K177" s="83" t="str">
        <f>IFERROR(IFERROR(VLOOKUP(I177,'DE-PARA'!B:D,3,0),VLOOKUP(I177,'DE-PARA'!C:D,2,0)),"NÃO ENCONTRADO")</f>
        <v>Materiais</v>
      </c>
      <c r="L177" s="50" t="str">
        <f>VLOOKUP(K177,'Base -Receita-Despesa'!$B:$P,1,FALSE)</f>
        <v>Materiais</v>
      </c>
    </row>
    <row r="178" spans="1:12" ht="15" customHeight="1" x14ac:dyDescent="0.3">
      <c r="A178" s="82" t="str">
        <f t="shared" si="4"/>
        <v>2016</v>
      </c>
      <c r="B178" s="72" t="s">
        <v>131</v>
      </c>
      <c r="C178" s="73" t="s">
        <v>132</v>
      </c>
      <c r="D178" s="74" t="str">
        <f t="shared" si="5"/>
        <v>fev/2016</v>
      </c>
      <c r="E178" s="53">
        <v>42405</v>
      </c>
      <c r="F178" s="75" t="s">
        <v>133</v>
      </c>
      <c r="G178" s="72"/>
      <c r="H178" s="49" t="s">
        <v>365</v>
      </c>
      <c r="I178" s="49" t="s">
        <v>135</v>
      </c>
      <c r="J178" s="76">
        <v>-4473.45</v>
      </c>
      <c r="K178" s="83" t="str">
        <f>IFERROR(IFERROR(VLOOKUP(I178,'DE-PARA'!B:D,3,0),VLOOKUP(I178,'DE-PARA'!C:D,2,0)),"NÃO ENCONTRADO")</f>
        <v>Pessoal</v>
      </c>
      <c r="L178" s="50" t="str">
        <f>VLOOKUP(K178,'Base -Receita-Despesa'!$B:$P,1,FALSE)</f>
        <v>Pessoal</v>
      </c>
    </row>
    <row r="179" spans="1:12" ht="15" customHeight="1" x14ac:dyDescent="0.3">
      <c r="A179" s="82" t="str">
        <f t="shared" si="4"/>
        <v>2016</v>
      </c>
      <c r="B179" s="72" t="s">
        <v>131</v>
      </c>
      <c r="C179" s="73" t="s">
        <v>132</v>
      </c>
      <c r="D179" s="74" t="str">
        <f t="shared" si="5"/>
        <v>fev/2016</v>
      </c>
      <c r="E179" s="53">
        <v>42405</v>
      </c>
      <c r="F179" s="75" t="s">
        <v>154</v>
      </c>
      <c r="G179" s="72"/>
      <c r="H179" s="49" t="s">
        <v>154</v>
      </c>
      <c r="I179" s="49" t="s">
        <v>1497</v>
      </c>
      <c r="J179" s="76">
        <v>37131.620000000003</v>
      </c>
      <c r="K179" s="83" t="str">
        <f>IFERROR(IFERROR(VLOOKUP(I179,'DE-PARA'!B:D,3,0),VLOOKUP(I179,'DE-PARA'!C:D,2,0)),"NÃO ENCONTRADO")</f>
        <v>Repasses Contrato de Gestão</v>
      </c>
      <c r="L179" s="50" t="str">
        <f>VLOOKUP(K179,'Base -Receita-Despesa'!$B:$P,1,FALSE)</f>
        <v>Repasses Contrato de Gestão</v>
      </c>
    </row>
    <row r="180" spans="1:12" ht="15" customHeight="1" x14ac:dyDescent="0.3">
      <c r="A180" s="82" t="str">
        <f t="shared" si="4"/>
        <v>2016</v>
      </c>
      <c r="B180" s="72" t="s">
        <v>131</v>
      </c>
      <c r="C180" s="73" t="s">
        <v>132</v>
      </c>
      <c r="D180" s="74" t="str">
        <f t="shared" si="5"/>
        <v>fev/2016</v>
      </c>
      <c r="E180" s="53">
        <v>42405</v>
      </c>
      <c r="F180" s="75" t="s">
        <v>133</v>
      </c>
      <c r="G180" s="72"/>
      <c r="H180" s="49" t="s">
        <v>366</v>
      </c>
      <c r="I180" s="49" t="s">
        <v>135</v>
      </c>
      <c r="J180" s="76">
        <v>-201784.45</v>
      </c>
      <c r="K180" s="83" t="str">
        <f>IFERROR(IFERROR(VLOOKUP(I180,'DE-PARA'!B:D,3,0),VLOOKUP(I180,'DE-PARA'!C:D,2,0)),"NÃO ENCONTRADO")</f>
        <v>Pessoal</v>
      </c>
      <c r="L180" s="50" t="str">
        <f>VLOOKUP(K180,'Base -Receita-Despesa'!$B:$P,1,FALSE)</f>
        <v>Pessoal</v>
      </c>
    </row>
    <row r="181" spans="1:12" ht="15" customHeight="1" x14ac:dyDescent="0.3">
      <c r="A181" s="82" t="str">
        <f t="shared" si="4"/>
        <v>2016</v>
      </c>
      <c r="B181" s="72" t="s">
        <v>131</v>
      </c>
      <c r="C181" s="73" t="s">
        <v>132</v>
      </c>
      <c r="D181" s="74" t="str">
        <f t="shared" si="5"/>
        <v>fev/2016</v>
      </c>
      <c r="E181" s="53">
        <v>42405</v>
      </c>
      <c r="F181" s="75" t="s">
        <v>367</v>
      </c>
      <c r="G181" s="72"/>
      <c r="H181" s="49" t="s">
        <v>368</v>
      </c>
      <c r="I181" s="49" t="s">
        <v>159</v>
      </c>
      <c r="J181" s="76">
        <v>-448</v>
      </c>
      <c r="K181" s="83" t="str">
        <f>IFERROR(IFERROR(VLOOKUP(I181,'DE-PARA'!B:D,3,0),VLOOKUP(I181,'DE-PARA'!C:D,2,0)),"NÃO ENCONTRADO")</f>
        <v>Materiais</v>
      </c>
      <c r="L181" s="50" t="str">
        <f>VLOOKUP(K181,'Base -Receita-Despesa'!$B:$P,1,FALSE)</f>
        <v>Materiais</v>
      </c>
    </row>
    <row r="182" spans="1:12" ht="15" customHeight="1" x14ac:dyDescent="0.3">
      <c r="A182" s="82" t="str">
        <f t="shared" si="4"/>
        <v>2016</v>
      </c>
      <c r="B182" s="72" t="s">
        <v>131</v>
      </c>
      <c r="C182" s="73" t="s">
        <v>132</v>
      </c>
      <c r="D182" s="74" t="str">
        <f t="shared" si="5"/>
        <v>fev/2016</v>
      </c>
      <c r="E182" s="53">
        <v>42405</v>
      </c>
      <c r="F182" s="75" t="s">
        <v>369</v>
      </c>
      <c r="G182" s="72"/>
      <c r="H182" s="49" t="s">
        <v>370</v>
      </c>
      <c r="I182" s="49" t="s">
        <v>159</v>
      </c>
      <c r="J182" s="76">
        <v>-1238.77</v>
      </c>
      <c r="K182" s="83" t="str">
        <f>IFERROR(IFERROR(VLOOKUP(I182,'DE-PARA'!B:D,3,0),VLOOKUP(I182,'DE-PARA'!C:D,2,0)),"NÃO ENCONTRADO")</f>
        <v>Materiais</v>
      </c>
      <c r="L182" s="50" t="str">
        <f>VLOOKUP(K182,'Base -Receita-Despesa'!$B:$P,1,FALSE)</f>
        <v>Materiais</v>
      </c>
    </row>
    <row r="183" spans="1:12" ht="15" customHeight="1" x14ac:dyDescent="0.3">
      <c r="A183" s="82" t="str">
        <f t="shared" si="4"/>
        <v>2016</v>
      </c>
      <c r="B183" s="72" t="s">
        <v>131</v>
      </c>
      <c r="C183" s="73" t="s">
        <v>132</v>
      </c>
      <c r="D183" s="74" t="str">
        <f t="shared" si="5"/>
        <v>fev/2016</v>
      </c>
      <c r="E183" s="53">
        <v>42405</v>
      </c>
      <c r="F183" s="75" t="s">
        <v>136</v>
      </c>
      <c r="G183" s="72"/>
      <c r="H183" s="49" t="s">
        <v>149</v>
      </c>
      <c r="I183" s="49" t="s">
        <v>129</v>
      </c>
      <c r="J183" s="76">
        <v>-7.85</v>
      </c>
      <c r="K183" s="83" t="str">
        <f>IFERROR(IFERROR(VLOOKUP(I183,'DE-PARA'!B:D,3,0),VLOOKUP(I183,'DE-PARA'!C:D,2,0)),"NÃO ENCONTRADO")</f>
        <v>Outras Saídas</v>
      </c>
      <c r="L183" s="50" t="str">
        <f>VLOOKUP(K183,'Base -Receita-Despesa'!$B:$P,1,FALSE)</f>
        <v>Outras Saídas</v>
      </c>
    </row>
    <row r="184" spans="1:12" ht="15" customHeight="1" x14ac:dyDescent="0.3">
      <c r="A184" s="82" t="str">
        <f t="shared" si="4"/>
        <v>2016</v>
      </c>
      <c r="B184" s="72" t="s">
        <v>131</v>
      </c>
      <c r="C184" s="73" t="s">
        <v>132</v>
      </c>
      <c r="D184" s="74" t="str">
        <f t="shared" si="5"/>
        <v>fev/2016</v>
      </c>
      <c r="E184" s="53">
        <v>42405</v>
      </c>
      <c r="F184" s="75" t="s">
        <v>136</v>
      </c>
      <c r="G184" s="72"/>
      <c r="H184" s="49" t="s">
        <v>149</v>
      </c>
      <c r="I184" s="49" t="s">
        <v>129</v>
      </c>
      <c r="J184" s="76">
        <v>-7.85</v>
      </c>
      <c r="K184" s="83" t="str">
        <f>IFERROR(IFERROR(VLOOKUP(I184,'DE-PARA'!B:D,3,0),VLOOKUP(I184,'DE-PARA'!C:D,2,0)),"NÃO ENCONTRADO")</f>
        <v>Outras Saídas</v>
      </c>
      <c r="L184" s="50" t="str">
        <f>VLOOKUP(K184,'Base -Receita-Despesa'!$B:$P,1,FALSE)</f>
        <v>Outras Saídas</v>
      </c>
    </row>
    <row r="185" spans="1:12" ht="15" customHeight="1" x14ac:dyDescent="0.3">
      <c r="A185" s="82" t="str">
        <f t="shared" si="4"/>
        <v>2016</v>
      </c>
      <c r="B185" s="72" t="s">
        <v>131</v>
      </c>
      <c r="C185" s="73" t="s">
        <v>132</v>
      </c>
      <c r="D185" s="74" t="str">
        <f t="shared" si="5"/>
        <v>fev/2016</v>
      </c>
      <c r="E185" s="53">
        <v>42405</v>
      </c>
      <c r="F185" s="75" t="s">
        <v>136</v>
      </c>
      <c r="G185" s="72"/>
      <c r="H185" s="49" t="s">
        <v>149</v>
      </c>
      <c r="I185" s="49" t="s">
        <v>129</v>
      </c>
      <c r="J185" s="76">
        <v>-7.85</v>
      </c>
      <c r="K185" s="83" t="str">
        <f>IFERROR(IFERROR(VLOOKUP(I185,'DE-PARA'!B:D,3,0),VLOOKUP(I185,'DE-PARA'!C:D,2,0)),"NÃO ENCONTRADO")</f>
        <v>Outras Saídas</v>
      </c>
      <c r="L185" s="50" t="str">
        <f>VLOOKUP(K185,'Base -Receita-Despesa'!$B:$P,1,FALSE)</f>
        <v>Outras Saídas</v>
      </c>
    </row>
    <row r="186" spans="1:12" ht="15" customHeight="1" x14ac:dyDescent="0.3">
      <c r="A186" s="82" t="str">
        <f t="shared" si="4"/>
        <v>2016</v>
      </c>
      <c r="B186" s="72" t="s">
        <v>131</v>
      </c>
      <c r="C186" s="73" t="s">
        <v>132</v>
      </c>
      <c r="D186" s="74" t="str">
        <f t="shared" si="5"/>
        <v>fev/2016</v>
      </c>
      <c r="E186" s="53">
        <v>42405</v>
      </c>
      <c r="F186" s="75" t="s">
        <v>136</v>
      </c>
      <c r="G186" s="72"/>
      <c r="H186" s="49" t="s">
        <v>149</v>
      </c>
      <c r="I186" s="49" t="s">
        <v>129</v>
      </c>
      <c r="J186" s="76">
        <v>-7.85</v>
      </c>
      <c r="K186" s="83" t="str">
        <f>IFERROR(IFERROR(VLOOKUP(I186,'DE-PARA'!B:D,3,0),VLOOKUP(I186,'DE-PARA'!C:D,2,0)),"NÃO ENCONTRADO")</f>
        <v>Outras Saídas</v>
      </c>
      <c r="L186" s="50" t="str">
        <f>VLOOKUP(K186,'Base -Receita-Despesa'!$B:$P,1,FALSE)</f>
        <v>Outras Saídas</v>
      </c>
    </row>
    <row r="187" spans="1:12" ht="15" customHeight="1" x14ac:dyDescent="0.3">
      <c r="A187" s="82" t="str">
        <f t="shared" si="4"/>
        <v>2016</v>
      </c>
      <c r="B187" s="72" t="s">
        <v>131</v>
      </c>
      <c r="C187" s="73" t="s">
        <v>132</v>
      </c>
      <c r="D187" s="74" t="str">
        <f t="shared" si="5"/>
        <v>fev/2016</v>
      </c>
      <c r="E187" s="53">
        <v>42405</v>
      </c>
      <c r="F187" s="75" t="s">
        <v>136</v>
      </c>
      <c r="G187" s="72"/>
      <c r="H187" s="49" t="s">
        <v>149</v>
      </c>
      <c r="I187" s="49" t="s">
        <v>129</v>
      </c>
      <c r="J187" s="76">
        <v>-7.85</v>
      </c>
      <c r="K187" s="83" t="str">
        <f>IFERROR(IFERROR(VLOOKUP(I187,'DE-PARA'!B:D,3,0),VLOOKUP(I187,'DE-PARA'!C:D,2,0)),"NÃO ENCONTRADO")</f>
        <v>Outras Saídas</v>
      </c>
      <c r="L187" s="50" t="str">
        <f>VLOOKUP(K187,'Base -Receita-Despesa'!$B:$P,1,FALSE)</f>
        <v>Outras Saídas</v>
      </c>
    </row>
    <row r="188" spans="1:12" ht="15" customHeight="1" x14ac:dyDescent="0.3">
      <c r="A188" s="82" t="str">
        <f t="shared" si="4"/>
        <v>2016</v>
      </c>
      <c r="B188" s="72" t="s">
        <v>131</v>
      </c>
      <c r="C188" s="73" t="s">
        <v>132</v>
      </c>
      <c r="D188" s="74" t="str">
        <f t="shared" si="5"/>
        <v>fev/2016</v>
      </c>
      <c r="E188" s="53">
        <v>42405</v>
      </c>
      <c r="F188" s="75" t="s">
        <v>122</v>
      </c>
      <c r="G188" s="72"/>
      <c r="H188" s="49" t="s">
        <v>250</v>
      </c>
      <c r="I188" s="49" t="s">
        <v>122</v>
      </c>
      <c r="J188" s="76">
        <v>-30428.54</v>
      </c>
      <c r="K188" s="83" t="str">
        <f>IFERROR(IFERROR(VLOOKUP(I188,'DE-PARA'!B:D,3,0),VLOOKUP(I188,'DE-PARA'!C:D,2,0)),"NÃO ENCONTRADO")</f>
        <v>Encargos sobre Folha de Pagamento</v>
      </c>
      <c r="L188" s="50" t="str">
        <f>VLOOKUP(K188,'Base -Receita-Despesa'!$B:$P,1,FALSE)</f>
        <v>Encargos sobre Folha de Pagamento</v>
      </c>
    </row>
    <row r="189" spans="1:12" ht="15" customHeight="1" x14ac:dyDescent="0.3">
      <c r="A189" s="82" t="str">
        <f t="shared" si="4"/>
        <v>2016</v>
      </c>
      <c r="B189" s="72" t="s">
        <v>131</v>
      </c>
      <c r="C189" s="73" t="s">
        <v>132</v>
      </c>
      <c r="D189" s="74" t="str">
        <f t="shared" si="5"/>
        <v>fev/2016</v>
      </c>
      <c r="E189" s="53">
        <v>42405</v>
      </c>
      <c r="F189" s="75" t="s">
        <v>133</v>
      </c>
      <c r="G189" s="72"/>
      <c r="H189" s="49" t="s">
        <v>371</v>
      </c>
      <c r="I189" s="49" t="s">
        <v>135</v>
      </c>
      <c r="J189" s="76">
        <v>-381.76</v>
      </c>
      <c r="K189" s="83" t="str">
        <f>IFERROR(IFERROR(VLOOKUP(I189,'DE-PARA'!B:D,3,0),VLOOKUP(I189,'DE-PARA'!C:D,2,0)),"NÃO ENCONTRADO")</f>
        <v>Pessoal</v>
      </c>
      <c r="L189" s="50" t="str">
        <f>VLOOKUP(K189,'Base -Receita-Despesa'!$B:$P,1,FALSE)</f>
        <v>Pessoal</v>
      </c>
    </row>
    <row r="190" spans="1:12" ht="15" customHeight="1" x14ac:dyDescent="0.3">
      <c r="A190" s="82" t="str">
        <f t="shared" si="4"/>
        <v>2016</v>
      </c>
      <c r="B190" s="72" t="s">
        <v>131</v>
      </c>
      <c r="C190" s="73" t="s">
        <v>132</v>
      </c>
      <c r="D190" s="74" t="str">
        <f t="shared" si="5"/>
        <v>fev/2016</v>
      </c>
      <c r="E190" s="53">
        <v>42405</v>
      </c>
      <c r="F190" s="75" t="s">
        <v>372</v>
      </c>
      <c r="G190" s="72"/>
      <c r="H190" s="49" t="s">
        <v>246</v>
      </c>
      <c r="I190" s="49" t="s">
        <v>138</v>
      </c>
      <c r="J190" s="76">
        <v>-396.38</v>
      </c>
      <c r="K190" s="83" t="str">
        <f>IFERROR(IFERROR(VLOOKUP(I190,'DE-PARA'!B:D,3,0),VLOOKUP(I190,'DE-PARA'!C:D,2,0)),"NÃO ENCONTRADO")</f>
        <v>Serviços</v>
      </c>
      <c r="L190" s="50" t="str">
        <f>VLOOKUP(K190,'Base -Receita-Despesa'!$B:$P,1,FALSE)</f>
        <v>Serviços</v>
      </c>
    </row>
    <row r="191" spans="1:12" ht="15" customHeight="1" x14ac:dyDescent="0.3">
      <c r="A191" s="82" t="str">
        <f t="shared" si="4"/>
        <v>2016</v>
      </c>
      <c r="B191" s="72" t="s">
        <v>131</v>
      </c>
      <c r="C191" s="73" t="s">
        <v>132</v>
      </c>
      <c r="D191" s="74" t="str">
        <f t="shared" si="5"/>
        <v>fev/2016</v>
      </c>
      <c r="E191" s="53">
        <v>42405</v>
      </c>
      <c r="F191" s="75" t="s">
        <v>373</v>
      </c>
      <c r="G191" s="72"/>
      <c r="H191" s="49" t="s">
        <v>183</v>
      </c>
      <c r="I191" s="49" t="s">
        <v>159</v>
      </c>
      <c r="J191" s="76">
        <v>-568.91999999999996</v>
      </c>
      <c r="K191" s="83" t="str">
        <f>IFERROR(IFERROR(VLOOKUP(I191,'DE-PARA'!B:D,3,0),VLOOKUP(I191,'DE-PARA'!C:D,2,0)),"NÃO ENCONTRADO")</f>
        <v>Materiais</v>
      </c>
      <c r="L191" s="50" t="str">
        <f>VLOOKUP(K191,'Base -Receita-Despesa'!$B:$P,1,FALSE)</f>
        <v>Materiais</v>
      </c>
    </row>
    <row r="192" spans="1:12" ht="15" customHeight="1" x14ac:dyDescent="0.3">
      <c r="A192" s="82" t="str">
        <f t="shared" si="4"/>
        <v>2016</v>
      </c>
      <c r="B192" s="72" t="s">
        <v>131</v>
      </c>
      <c r="C192" s="73" t="s">
        <v>132</v>
      </c>
      <c r="D192" s="74" t="str">
        <f t="shared" si="5"/>
        <v>fev/2016</v>
      </c>
      <c r="E192" s="53">
        <v>42405</v>
      </c>
      <c r="F192" s="75" t="s">
        <v>133</v>
      </c>
      <c r="G192" s="72"/>
      <c r="H192" s="49" t="s">
        <v>374</v>
      </c>
      <c r="I192" s="49" t="s">
        <v>135</v>
      </c>
      <c r="J192" s="76">
        <v>-371.07</v>
      </c>
      <c r="K192" s="83" t="str">
        <f>IFERROR(IFERROR(VLOOKUP(I192,'DE-PARA'!B:D,3,0),VLOOKUP(I192,'DE-PARA'!C:D,2,0)),"NÃO ENCONTRADO")</f>
        <v>Pessoal</v>
      </c>
      <c r="L192" s="50" t="str">
        <f>VLOOKUP(K192,'Base -Receita-Despesa'!$B:$P,1,FALSE)</f>
        <v>Pessoal</v>
      </c>
    </row>
    <row r="193" spans="1:12" ht="15" customHeight="1" x14ac:dyDescent="0.3">
      <c r="A193" s="82" t="str">
        <f t="shared" si="4"/>
        <v>2016</v>
      </c>
      <c r="B193" s="72" t="s">
        <v>131</v>
      </c>
      <c r="C193" s="73" t="s">
        <v>132</v>
      </c>
      <c r="D193" s="74" t="str">
        <f t="shared" si="5"/>
        <v>fev/2016</v>
      </c>
      <c r="E193" s="53">
        <v>42405</v>
      </c>
      <c r="F193" s="75" t="s">
        <v>269</v>
      </c>
      <c r="G193" s="72"/>
      <c r="H193" s="49" t="s">
        <v>213</v>
      </c>
      <c r="I193" s="49" t="s">
        <v>159</v>
      </c>
      <c r="J193" s="76">
        <v>-2125.67</v>
      </c>
      <c r="K193" s="83" t="str">
        <f>IFERROR(IFERROR(VLOOKUP(I193,'DE-PARA'!B:D,3,0),VLOOKUP(I193,'DE-PARA'!C:D,2,0)),"NÃO ENCONTRADO")</f>
        <v>Materiais</v>
      </c>
      <c r="L193" s="50" t="str">
        <f>VLOOKUP(K193,'Base -Receita-Despesa'!$B:$P,1,FALSE)</f>
        <v>Materiais</v>
      </c>
    </row>
    <row r="194" spans="1:12" ht="15" customHeight="1" x14ac:dyDescent="0.3">
      <c r="A194" s="82" t="str">
        <f t="shared" si="4"/>
        <v>2016</v>
      </c>
      <c r="B194" s="72" t="s">
        <v>131</v>
      </c>
      <c r="C194" s="73" t="s">
        <v>132</v>
      </c>
      <c r="D194" s="74" t="str">
        <f t="shared" si="5"/>
        <v>fev/2016</v>
      </c>
      <c r="E194" s="53">
        <v>42405</v>
      </c>
      <c r="F194" s="75" t="s">
        <v>267</v>
      </c>
      <c r="G194" s="72"/>
      <c r="H194" s="49" t="s">
        <v>213</v>
      </c>
      <c r="I194" s="49" t="s">
        <v>159</v>
      </c>
      <c r="J194" s="76">
        <v>-594.87</v>
      </c>
      <c r="K194" s="83" t="str">
        <f>IFERROR(IFERROR(VLOOKUP(I194,'DE-PARA'!B:D,3,0),VLOOKUP(I194,'DE-PARA'!C:D,2,0)),"NÃO ENCONTRADO")</f>
        <v>Materiais</v>
      </c>
      <c r="L194" s="50" t="str">
        <f>VLOOKUP(K194,'Base -Receita-Despesa'!$B:$P,1,FALSE)</f>
        <v>Materiais</v>
      </c>
    </row>
    <row r="195" spans="1:12" ht="15" customHeight="1" x14ac:dyDescent="0.3">
      <c r="A195" s="82" t="str">
        <f t="shared" si="4"/>
        <v>2016</v>
      </c>
      <c r="B195" s="72" t="s">
        <v>131</v>
      </c>
      <c r="C195" s="73" t="s">
        <v>132</v>
      </c>
      <c r="D195" s="74" t="str">
        <f t="shared" si="5"/>
        <v>fev/2016</v>
      </c>
      <c r="E195" s="53">
        <v>42405</v>
      </c>
      <c r="F195" s="75" t="s">
        <v>267</v>
      </c>
      <c r="G195" s="72"/>
      <c r="H195" s="49" t="s">
        <v>213</v>
      </c>
      <c r="I195" s="49" t="s">
        <v>159</v>
      </c>
      <c r="J195" s="76">
        <v>-594.88</v>
      </c>
      <c r="K195" s="83" t="str">
        <f>IFERROR(IFERROR(VLOOKUP(I195,'DE-PARA'!B:D,3,0),VLOOKUP(I195,'DE-PARA'!C:D,2,0)),"NÃO ENCONTRADO")</f>
        <v>Materiais</v>
      </c>
      <c r="L195" s="50" t="str">
        <f>VLOOKUP(K195,'Base -Receita-Despesa'!$B:$P,1,FALSE)</f>
        <v>Materiais</v>
      </c>
    </row>
    <row r="196" spans="1:12" ht="15" customHeight="1" x14ac:dyDescent="0.3">
      <c r="A196" s="82" t="str">
        <f t="shared" ref="A196:A259" si="6">IF(K196="NÃO ENCONTRADO",0,RIGHT(D196,4))</f>
        <v>2016</v>
      </c>
      <c r="B196" s="72" t="s">
        <v>131</v>
      </c>
      <c r="C196" s="73" t="s">
        <v>132</v>
      </c>
      <c r="D196" s="74" t="str">
        <f t="shared" ref="D196:D259" si="7">TEXT(E196,"mmm/aaaa")</f>
        <v>fev/2016</v>
      </c>
      <c r="E196" s="53">
        <v>42405</v>
      </c>
      <c r="F196" s="75" t="s">
        <v>375</v>
      </c>
      <c r="G196" s="72"/>
      <c r="H196" s="49" t="s">
        <v>213</v>
      </c>
      <c r="I196" s="49" t="s">
        <v>159</v>
      </c>
      <c r="J196" s="76">
        <v>-1991.07</v>
      </c>
      <c r="K196" s="83" t="str">
        <f>IFERROR(IFERROR(VLOOKUP(I196,'DE-PARA'!B:D,3,0),VLOOKUP(I196,'DE-PARA'!C:D,2,0)),"NÃO ENCONTRADO")</f>
        <v>Materiais</v>
      </c>
      <c r="L196" s="50" t="str">
        <f>VLOOKUP(K196,'Base -Receita-Despesa'!$B:$P,1,FALSE)</f>
        <v>Materiais</v>
      </c>
    </row>
    <row r="197" spans="1:12" ht="15" customHeight="1" x14ac:dyDescent="0.3">
      <c r="A197" s="82" t="str">
        <f t="shared" si="6"/>
        <v>2016</v>
      </c>
      <c r="B197" s="72" t="s">
        <v>131</v>
      </c>
      <c r="C197" s="73" t="s">
        <v>132</v>
      </c>
      <c r="D197" s="74" t="str">
        <f t="shared" si="7"/>
        <v>fev/2016</v>
      </c>
      <c r="E197" s="53">
        <v>42405</v>
      </c>
      <c r="F197" s="75" t="s">
        <v>133</v>
      </c>
      <c r="G197" s="72"/>
      <c r="H197" s="49" t="s">
        <v>376</v>
      </c>
      <c r="I197" s="49" t="s">
        <v>135</v>
      </c>
      <c r="J197" s="76">
        <v>-371.07</v>
      </c>
      <c r="K197" s="83" t="str">
        <f>IFERROR(IFERROR(VLOOKUP(I197,'DE-PARA'!B:D,3,0),VLOOKUP(I197,'DE-PARA'!C:D,2,0)),"NÃO ENCONTRADO")</f>
        <v>Pessoal</v>
      </c>
      <c r="L197" s="50" t="str">
        <f>VLOOKUP(K197,'Base -Receita-Despesa'!$B:$P,1,FALSE)</f>
        <v>Pessoal</v>
      </c>
    </row>
    <row r="198" spans="1:12" ht="15" customHeight="1" x14ac:dyDescent="0.3">
      <c r="A198" s="82" t="str">
        <f t="shared" si="6"/>
        <v>2016</v>
      </c>
      <c r="B198" s="72" t="s">
        <v>131</v>
      </c>
      <c r="C198" s="73" t="s">
        <v>132</v>
      </c>
      <c r="D198" s="74" t="str">
        <f t="shared" si="7"/>
        <v>fev/2016</v>
      </c>
      <c r="E198" s="53">
        <v>42405</v>
      </c>
      <c r="F198" s="75" t="s">
        <v>1272</v>
      </c>
      <c r="G198" s="72"/>
      <c r="H198" s="49" t="s">
        <v>187</v>
      </c>
      <c r="I198" s="49" t="s">
        <v>159</v>
      </c>
      <c r="J198" s="76">
        <v>-419.18</v>
      </c>
      <c r="K198" s="83" t="str">
        <f>IFERROR(IFERROR(VLOOKUP(I198,'DE-PARA'!B:D,3,0),VLOOKUP(I198,'DE-PARA'!C:D,2,0)),"NÃO ENCONTRADO")</f>
        <v>Materiais</v>
      </c>
      <c r="L198" s="50" t="str">
        <f>VLOOKUP(K198,'Base -Receita-Despesa'!$B:$P,1,FALSE)</f>
        <v>Materiais</v>
      </c>
    </row>
    <row r="199" spans="1:12" ht="15" customHeight="1" x14ac:dyDescent="0.3">
      <c r="A199" s="82" t="str">
        <f t="shared" si="6"/>
        <v>2016</v>
      </c>
      <c r="B199" s="72" t="s">
        <v>131</v>
      </c>
      <c r="C199" s="73" t="s">
        <v>132</v>
      </c>
      <c r="D199" s="74" t="str">
        <f t="shared" si="7"/>
        <v>fev/2016</v>
      </c>
      <c r="E199" s="53">
        <v>42410</v>
      </c>
      <c r="F199" s="75" t="s">
        <v>378</v>
      </c>
      <c r="G199" s="72"/>
      <c r="H199" s="49" t="s">
        <v>213</v>
      </c>
      <c r="I199" s="49" t="s">
        <v>159</v>
      </c>
      <c r="J199" s="76">
        <v>-771.51</v>
      </c>
      <c r="K199" s="83" t="str">
        <f>IFERROR(IFERROR(VLOOKUP(I199,'DE-PARA'!B:D,3,0),VLOOKUP(I199,'DE-PARA'!C:D,2,0)),"NÃO ENCONTRADO")</f>
        <v>Materiais</v>
      </c>
      <c r="L199" s="50" t="str">
        <f>VLOOKUP(K199,'Base -Receita-Despesa'!$B:$P,1,FALSE)</f>
        <v>Materiais</v>
      </c>
    </row>
    <row r="200" spans="1:12" ht="15" customHeight="1" x14ac:dyDescent="0.3">
      <c r="A200" s="82" t="str">
        <f t="shared" si="6"/>
        <v>2016</v>
      </c>
      <c r="B200" s="72" t="s">
        <v>131</v>
      </c>
      <c r="C200" s="73" t="s">
        <v>132</v>
      </c>
      <c r="D200" s="74" t="str">
        <f t="shared" si="7"/>
        <v>fev/2016</v>
      </c>
      <c r="E200" s="53">
        <v>42410</v>
      </c>
      <c r="F200" s="75" t="s">
        <v>146</v>
      </c>
      <c r="G200" s="72"/>
      <c r="H200" s="49" t="s">
        <v>147</v>
      </c>
      <c r="I200" s="49" t="s">
        <v>148</v>
      </c>
      <c r="J200" s="76">
        <v>-2053.52</v>
      </c>
      <c r="K200" s="83" t="str">
        <f>IFERROR(IFERROR(VLOOKUP(I200,'DE-PARA'!B:D,3,0),VLOOKUP(I200,'DE-PARA'!C:D,2,0)),"NÃO ENCONTRADO")</f>
        <v>Concessionárias (água, luz e telefone)</v>
      </c>
      <c r="L200" s="50" t="str">
        <f>VLOOKUP(K200,'Base -Receita-Despesa'!$B:$P,1,FALSE)</f>
        <v>Concessionárias (água, luz e telefone)</v>
      </c>
    </row>
    <row r="201" spans="1:12" ht="15" customHeight="1" x14ac:dyDescent="0.3">
      <c r="A201" s="82" t="str">
        <f t="shared" si="6"/>
        <v>2016</v>
      </c>
      <c r="B201" s="72" t="s">
        <v>131</v>
      </c>
      <c r="C201" s="73" t="s">
        <v>132</v>
      </c>
      <c r="D201" s="74" t="str">
        <f t="shared" si="7"/>
        <v>fev/2016</v>
      </c>
      <c r="E201" s="53">
        <v>42411</v>
      </c>
      <c r="F201" s="75" t="s">
        <v>133</v>
      </c>
      <c r="G201" s="72"/>
      <c r="H201" s="49" t="s">
        <v>253</v>
      </c>
      <c r="I201" s="49" t="s">
        <v>135</v>
      </c>
      <c r="J201" s="76">
        <v>-2745.47</v>
      </c>
      <c r="K201" s="83" t="str">
        <f>IFERROR(IFERROR(VLOOKUP(I201,'DE-PARA'!B:D,3,0),VLOOKUP(I201,'DE-PARA'!C:D,2,0)),"NÃO ENCONTRADO")</f>
        <v>Pessoal</v>
      </c>
      <c r="L201" s="50" t="str">
        <f>VLOOKUP(K201,'Base -Receita-Despesa'!$B:$P,1,FALSE)</f>
        <v>Pessoal</v>
      </c>
    </row>
    <row r="202" spans="1:12" ht="15" customHeight="1" x14ac:dyDescent="0.3">
      <c r="A202" s="82" t="str">
        <f t="shared" si="6"/>
        <v>2016</v>
      </c>
      <c r="B202" s="72" t="s">
        <v>131</v>
      </c>
      <c r="C202" s="73" t="s">
        <v>132</v>
      </c>
      <c r="D202" s="74" t="str">
        <f t="shared" si="7"/>
        <v>fev/2016</v>
      </c>
      <c r="E202" s="53">
        <v>42411</v>
      </c>
      <c r="F202" s="75" t="s">
        <v>133</v>
      </c>
      <c r="G202" s="72"/>
      <c r="H202" s="49" t="s">
        <v>379</v>
      </c>
      <c r="I202" s="49" t="s">
        <v>135</v>
      </c>
      <c r="J202" s="76">
        <v>-436.1</v>
      </c>
      <c r="K202" s="83" t="str">
        <f>IFERROR(IFERROR(VLOOKUP(I202,'DE-PARA'!B:D,3,0),VLOOKUP(I202,'DE-PARA'!C:D,2,0)),"NÃO ENCONTRADO")</f>
        <v>Pessoal</v>
      </c>
      <c r="L202" s="50" t="str">
        <f>VLOOKUP(K202,'Base -Receita-Despesa'!$B:$P,1,FALSE)</f>
        <v>Pessoal</v>
      </c>
    </row>
    <row r="203" spans="1:12" ht="15" customHeight="1" x14ac:dyDescent="0.3">
      <c r="A203" s="82" t="str">
        <f t="shared" si="6"/>
        <v>2016</v>
      </c>
      <c r="B203" s="72" t="s">
        <v>131</v>
      </c>
      <c r="C203" s="73" t="s">
        <v>132</v>
      </c>
      <c r="D203" s="74" t="str">
        <f t="shared" si="7"/>
        <v>fev/2016</v>
      </c>
      <c r="E203" s="53">
        <v>42411</v>
      </c>
      <c r="F203" s="75" t="s">
        <v>369</v>
      </c>
      <c r="G203" s="72"/>
      <c r="H203" s="49" t="s">
        <v>370</v>
      </c>
      <c r="I203" s="49" t="s">
        <v>159</v>
      </c>
      <c r="J203" s="76">
        <v>1188.3</v>
      </c>
      <c r="K203" s="83" t="str">
        <f>IFERROR(IFERROR(VLOOKUP(I203,'DE-PARA'!B:D,3,0),VLOOKUP(I203,'DE-PARA'!C:D,2,0)),"NÃO ENCONTRADO")</f>
        <v>Materiais</v>
      </c>
      <c r="L203" s="50" t="str">
        <f>VLOOKUP(K203,'Base -Receita-Despesa'!$B:$P,1,FALSE)</f>
        <v>Materiais</v>
      </c>
    </row>
    <row r="204" spans="1:12" ht="15" customHeight="1" x14ac:dyDescent="0.3">
      <c r="A204" s="82" t="str">
        <f t="shared" si="6"/>
        <v>2016</v>
      </c>
      <c r="B204" s="72" t="s">
        <v>131</v>
      </c>
      <c r="C204" s="73" t="s">
        <v>132</v>
      </c>
      <c r="D204" s="74" t="str">
        <f t="shared" si="7"/>
        <v>fev/2016</v>
      </c>
      <c r="E204" s="53">
        <v>42411</v>
      </c>
      <c r="F204" s="75" t="s">
        <v>136</v>
      </c>
      <c r="G204" s="72"/>
      <c r="H204" s="49" t="s">
        <v>149</v>
      </c>
      <c r="I204" s="49" t="s">
        <v>129</v>
      </c>
      <c r="J204" s="76">
        <v>-7.85</v>
      </c>
      <c r="K204" s="83" t="str">
        <f>IFERROR(IFERROR(VLOOKUP(I204,'DE-PARA'!B:D,3,0),VLOOKUP(I204,'DE-PARA'!C:D,2,0)),"NÃO ENCONTRADO")</f>
        <v>Outras Saídas</v>
      </c>
      <c r="L204" s="50" t="str">
        <f>VLOOKUP(K204,'Base -Receita-Despesa'!$B:$P,1,FALSE)</f>
        <v>Outras Saídas</v>
      </c>
    </row>
    <row r="205" spans="1:12" ht="15" customHeight="1" x14ac:dyDescent="0.3">
      <c r="A205" s="82" t="str">
        <f t="shared" si="6"/>
        <v>2016</v>
      </c>
      <c r="B205" s="72" t="s">
        <v>131</v>
      </c>
      <c r="C205" s="73" t="s">
        <v>132</v>
      </c>
      <c r="D205" s="74" t="str">
        <f t="shared" si="7"/>
        <v>fev/2016</v>
      </c>
      <c r="E205" s="53">
        <v>42411</v>
      </c>
      <c r="F205" s="75" t="s">
        <v>136</v>
      </c>
      <c r="G205" s="72"/>
      <c r="H205" s="49" t="s">
        <v>149</v>
      </c>
      <c r="I205" s="49" t="s">
        <v>129</v>
      </c>
      <c r="J205" s="76">
        <v>-7.85</v>
      </c>
      <c r="K205" s="83" t="str">
        <f>IFERROR(IFERROR(VLOOKUP(I205,'DE-PARA'!B:D,3,0),VLOOKUP(I205,'DE-PARA'!C:D,2,0)),"NÃO ENCONTRADO")</f>
        <v>Outras Saídas</v>
      </c>
      <c r="L205" s="50" t="str">
        <f>VLOOKUP(K205,'Base -Receita-Despesa'!$B:$P,1,FALSE)</f>
        <v>Outras Saídas</v>
      </c>
    </row>
    <row r="206" spans="1:12" ht="15" customHeight="1" x14ac:dyDescent="0.3">
      <c r="A206" s="82" t="str">
        <f t="shared" si="6"/>
        <v>2016</v>
      </c>
      <c r="B206" s="72" t="s">
        <v>131</v>
      </c>
      <c r="C206" s="73" t="s">
        <v>132</v>
      </c>
      <c r="D206" s="74" t="str">
        <f t="shared" si="7"/>
        <v>fev/2016</v>
      </c>
      <c r="E206" s="53">
        <v>42411</v>
      </c>
      <c r="F206" s="75" t="s">
        <v>136</v>
      </c>
      <c r="G206" s="72"/>
      <c r="H206" s="49" t="s">
        <v>149</v>
      </c>
      <c r="I206" s="49" t="s">
        <v>129</v>
      </c>
      <c r="J206" s="76">
        <v>-115.62</v>
      </c>
      <c r="K206" s="83" t="str">
        <f>IFERROR(IFERROR(VLOOKUP(I206,'DE-PARA'!B:D,3,0),VLOOKUP(I206,'DE-PARA'!C:D,2,0)),"NÃO ENCONTRADO")</f>
        <v>Outras Saídas</v>
      </c>
      <c r="L206" s="50" t="str">
        <f>VLOOKUP(K206,'Base -Receita-Despesa'!$B:$P,1,FALSE)</f>
        <v>Outras Saídas</v>
      </c>
    </row>
    <row r="207" spans="1:12" ht="15" customHeight="1" x14ac:dyDescent="0.3">
      <c r="A207" s="82" t="str">
        <f t="shared" si="6"/>
        <v>2016</v>
      </c>
      <c r="B207" s="72" t="s">
        <v>131</v>
      </c>
      <c r="C207" s="73" t="s">
        <v>132</v>
      </c>
      <c r="D207" s="74" t="str">
        <f t="shared" si="7"/>
        <v>fev/2016</v>
      </c>
      <c r="E207" s="53">
        <v>42411</v>
      </c>
      <c r="F207" s="75" t="s">
        <v>133</v>
      </c>
      <c r="G207" s="72"/>
      <c r="H207" s="49" t="s">
        <v>380</v>
      </c>
      <c r="I207" s="49" t="s">
        <v>135</v>
      </c>
      <c r="J207" s="76">
        <v>-7062.44</v>
      </c>
      <c r="K207" s="83" t="str">
        <f>IFERROR(IFERROR(VLOOKUP(I207,'DE-PARA'!B:D,3,0),VLOOKUP(I207,'DE-PARA'!C:D,2,0)),"NÃO ENCONTRADO")</f>
        <v>Pessoal</v>
      </c>
      <c r="L207" s="50" t="str">
        <f>VLOOKUP(K207,'Base -Receita-Despesa'!$B:$P,1,FALSE)</f>
        <v>Pessoal</v>
      </c>
    </row>
    <row r="208" spans="1:12" ht="15" customHeight="1" x14ac:dyDescent="0.3">
      <c r="A208" s="82" t="str">
        <f t="shared" si="6"/>
        <v>2016</v>
      </c>
      <c r="B208" s="72" t="s">
        <v>131</v>
      </c>
      <c r="C208" s="73" t="s">
        <v>132</v>
      </c>
      <c r="D208" s="74" t="str">
        <f t="shared" si="7"/>
        <v>fev/2016</v>
      </c>
      <c r="E208" s="53">
        <v>42411</v>
      </c>
      <c r="F208" s="75" t="s">
        <v>133</v>
      </c>
      <c r="G208" s="72"/>
      <c r="H208" s="49" t="s">
        <v>319</v>
      </c>
      <c r="I208" s="49" t="s">
        <v>135</v>
      </c>
      <c r="J208" s="76">
        <v>-1862.92</v>
      </c>
      <c r="K208" s="83" t="str">
        <f>IFERROR(IFERROR(VLOOKUP(I208,'DE-PARA'!B:D,3,0),VLOOKUP(I208,'DE-PARA'!C:D,2,0)),"NÃO ENCONTRADO")</f>
        <v>Pessoal</v>
      </c>
      <c r="L208" s="50" t="str">
        <f>VLOOKUP(K208,'Base -Receita-Despesa'!$B:$P,1,FALSE)</f>
        <v>Pessoal</v>
      </c>
    </row>
    <row r="209" spans="1:12" ht="15" customHeight="1" x14ac:dyDescent="0.3">
      <c r="A209" s="82" t="str">
        <f t="shared" si="6"/>
        <v>2016</v>
      </c>
      <c r="B209" s="72" t="s">
        <v>131</v>
      </c>
      <c r="C209" s="73" t="s">
        <v>132</v>
      </c>
      <c r="D209" s="74" t="str">
        <f t="shared" si="7"/>
        <v>fev/2016</v>
      </c>
      <c r="E209" s="53">
        <v>42411</v>
      </c>
      <c r="F209" s="75" t="s">
        <v>381</v>
      </c>
      <c r="G209" s="72"/>
      <c r="H209" s="49" t="s">
        <v>382</v>
      </c>
      <c r="I209" s="49" t="s">
        <v>159</v>
      </c>
      <c r="J209" s="76">
        <v>-1814.01</v>
      </c>
      <c r="K209" s="83" t="str">
        <f>IFERROR(IFERROR(VLOOKUP(I209,'DE-PARA'!B:D,3,0),VLOOKUP(I209,'DE-PARA'!C:D,2,0)),"NÃO ENCONTRADO")</f>
        <v>Materiais</v>
      </c>
      <c r="L209" s="50" t="str">
        <f>VLOOKUP(K209,'Base -Receita-Despesa'!$B:$P,1,FALSE)</f>
        <v>Materiais</v>
      </c>
    </row>
    <row r="210" spans="1:12" ht="15" customHeight="1" x14ac:dyDescent="0.3">
      <c r="A210" s="82" t="str">
        <f t="shared" si="6"/>
        <v>2016</v>
      </c>
      <c r="B210" s="72" t="s">
        <v>131</v>
      </c>
      <c r="C210" s="73" t="s">
        <v>132</v>
      </c>
      <c r="D210" s="74" t="str">
        <f t="shared" si="7"/>
        <v>fev/2016</v>
      </c>
      <c r="E210" s="53">
        <v>42411</v>
      </c>
      <c r="F210" s="75" t="s">
        <v>133</v>
      </c>
      <c r="G210" s="72"/>
      <c r="H210" s="49" t="s">
        <v>383</v>
      </c>
      <c r="I210" s="49" t="s">
        <v>135</v>
      </c>
      <c r="J210" s="76">
        <v>-22799.01</v>
      </c>
      <c r="K210" s="83" t="str">
        <f>IFERROR(IFERROR(VLOOKUP(I210,'DE-PARA'!B:D,3,0),VLOOKUP(I210,'DE-PARA'!C:D,2,0)),"NÃO ENCONTRADO")</f>
        <v>Pessoal</v>
      </c>
      <c r="L210" s="50" t="str">
        <f>VLOOKUP(K210,'Base -Receita-Despesa'!$B:$P,1,FALSE)</f>
        <v>Pessoal</v>
      </c>
    </row>
    <row r="211" spans="1:12" ht="15" customHeight="1" x14ac:dyDescent="0.3">
      <c r="A211" s="82" t="str">
        <f t="shared" si="6"/>
        <v>2016</v>
      </c>
      <c r="B211" s="72" t="s">
        <v>131</v>
      </c>
      <c r="C211" s="73" t="s">
        <v>132</v>
      </c>
      <c r="D211" s="74" t="str">
        <f t="shared" si="7"/>
        <v>fev/2016</v>
      </c>
      <c r="E211" s="53">
        <v>42411</v>
      </c>
      <c r="F211" s="75" t="s">
        <v>133</v>
      </c>
      <c r="G211" s="72"/>
      <c r="H211" s="49" t="s">
        <v>384</v>
      </c>
      <c r="I211" s="49" t="s">
        <v>135</v>
      </c>
      <c r="J211" s="76">
        <v>-181.71</v>
      </c>
      <c r="K211" s="83" t="str">
        <f>IFERROR(IFERROR(VLOOKUP(I211,'DE-PARA'!B:D,3,0),VLOOKUP(I211,'DE-PARA'!C:D,2,0)),"NÃO ENCONTRADO")</f>
        <v>Pessoal</v>
      </c>
      <c r="L211" s="50" t="str">
        <f>VLOOKUP(K211,'Base -Receita-Despesa'!$B:$P,1,FALSE)</f>
        <v>Pessoal</v>
      </c>
    </row>
    <row r="212" spans="1:12" ht="15" customHeight="1" x14ac:dyDescent="0.3">
      <c r="A212" s="82" t="str">
        <f t="shared" si="6"/>
        <v>2016</v>
      </c>
      <c r="B212" s="72" t="s">
        <v>131</v>
      </c>
      <c r="C212" s="73" t="s">
        <v>132</v>
      </c>
      <c r="D212" s="74" t="str">
        <f t="shared" si="7"/>
        <v>fev/2016</v>
      </c>
      <c r="E212" s="53">
        <v>42412</v>
      </c>
      <c r="F212" s="75" t="s">
        <v>133</v>
      </c>
      <c r="G212" s="72"/>
      <c r="H212" s="49" t="s">
        <v>232</v>
      </c>
      <c r="I212" s="49" t="s">
        <v>135</v>
      </c>
      <c r="J212" s="76">
        <v>-3354.71</v>
      </c>
      <c r="K212" s="83" t="str">
        <f>IFERROR(IFERROR(VLOOKUP(I212,'DE-PARA'!B:D,3,0),VLOOKUP(I212,'DE-PARA'!C:D,2,0)),"NÃO ENCONTRADO")</f>
        <v>Pessoal</v>
      </c>
      <c r="L212" s="50" t="str">
        <f>VLOOKUP(K212,'Base -Receita-Despesa'!$B:$P,1,FALSE)</f>
        <v>Pessoal</v>
      </c>
    </row>
    <row r="213" spans="1:12" ht="15" customHeight="1" x14ac:dyDescent="0.3">
      <c r="A213" s="82" t="str">
        <f t="shared" si="6"/>
        <v>2016</v>
      </c>
      <c r="B213" s="72" t="s">
        <v>131</v>
      </c>
      <c r="C213" s="73" t="s">
        <v>132</v>
      </c>
      <c r="D213" s="74" t="str">
        <f t="shared" si="7"/>
        <v>fev/2016</v>
      </c>
      <c r="E213" s="53">
        <v>42412</v>
      </c>
      <c r="F213" s="75" t="s">
        <v>154</v>
      </c>
      <c r="G213" s="72"/>
      <c r="H213" s="49" t="s">
        <v>154</v>
      </c>
      <c r="I213" s="49" t="s">
        <v>1497</v>
      </c>
      <c r="J213" s="76">
        <v>467795.66</v>
      </c>
      <c r="K213" s="83" t="str">
        <f>IFERROR(IFERROR(VLOOKUP(I213,'DE-PARA'!B:D,3,0),VLOOKUP(I213,'DE-PARA'!C:D,2,0)),"NÃO ENCONTRADO")</f>
        <v>Repasses Contrato de Gestão</v>
      </c>
      <c r="L213" s="50" t="str">
        <f>VLOOKUP(K213,'Base -Receita-Despesa'!$B:$P,1,FALSE)</f>
        <v>Repasses Contrato de Gestão</v>
      </c>
    </row>
    <row r="214" spans="1:12" ht="15" customHeight="1" x14ac:dyDescent="0.3">
      <c r="A214" s="82" t="str">
        <f t="shared" si="6"/>
        <v>2016</v>
      </c>
      <c r="B214" s="72" t="s">
        <v>131</v>
      </c>
      <c r="C214" s="73" t="s">
        <v>132</v>
      </c>
      <c r="D214" s="74" t="str">
        <f t="shared" si="7"/>
        <v>fev/2016</v>
      </c>
      <c r="E214" s="53">
        <v>42412</v>
      </c>
      <c r="F214" s="75" t="s">
        <v>263</v>
      </c>
      <c r="G214" s="72"/>
      <c r="H214" s="49" t="s">
        <v>385</v>
      </c>
      <c r="I214" s="49" t="s">
        <v>159</v>
      </c>
      <c r="J214" s="76">
        <v>-1176.9100000000001</v>
      </c>
      <c r="K214" s="83" t="str">
        <f>IFERROR(IFERROR(VLOOKUP(I214,'DE-PARA'!B:D,3,0),VLOOKUP(I214,'DE-PARA'!C:D,2,0)),"NÃO ENCONTRADO")</f>
        <v>Materiais</v>
      </c>
      <c r="L214" s="50" t="str">
        <f>VLOOKUP(K214,'Base -Receita-Despesa'!$B:$P,1,FALSE)</f>
        <v>Materiais</v>
      </c>
    </row>
    <row r="215" spans="1:12" ht="15" customHeight="1" x14ac:dyDescent="0.3">
      <c r="A215" s="82" t="str">
        <f t="shared" si="6"/>
        <v>2016</v>
      </c>
      <c r="B215" s="72" t="s">
        <v>131</v>
      </c>
      <c r="C215" s="73" t="s">
        <v>132</v>
      </c>
      <c r="D215" s="74" t="str">
        <f t="shared" si="7"/>
        <v>fev/2016</v>
      </c>
      <c r="E215" s="53">
        <v>42412</v>
      </c>
      <c r="F215" s="75" t="s">
        <v>266</v>
      </c>
      <c r="G215" s="72"/>
      <c r="H215" s="49" t="s">
        <v>386</v>
      </c>
      <c r="I215" s="49" t="s">
        <v>159</v>
      </c>
      <c r="J215" s="76">
        <v>-442.13</v>
      </c>
      <c r="K215" s="83" t="str">
        <f>IFERROR(IFERROR(VLOOKUP(I215,'DE-PARA'!B:D,3,0),VLOOKUP(I215,'DE-PARA'!C:D,2,0)),"NÃO ENCONTRADO")</f>
        <v>Materiais</v>
      </c>
      <c r="L215" s="50" t="str">
        <f>VLOOKUP(K215,'Base -Receita-Despesa'!$B:$P,1,FALSE)</f>
        <v>Materiais</v>
      </c>
    </row>
    <row r="216" spans="1:12" ht="15" customHeight="1" x14ac:dyDescent="0.3">
      <c r="A216" s="82" t="str">
        <f t="shared" si="6"/>
        <v>2016</v>
      </c>
      <c r="B216" s="72" t="s">
        <v>131</v>
      </c>
      <c r="C216" s="73" t="s">
        <v>132</v>
      </c>
      <c r="D216" s="74" t="str">
        <f t="shared" si="7"/>
        <v>fev/2016</v>
      </c>
      <c r="E216" s="53">
        <v>42412</v>
      </c>
      <c r="F216" s="75" t="s">
        <v>123</v>
      </c>
      <c r="G216" s="72"/>
      <c r="H216" s="49" t="s">
        <v>387</v>
      </c>
      <c r="I216" s="49" t="s">
        <v>124</v>
      </c>
      <c r="J216" s="76">
        <v>-2717.86</v>
      </c>
      <c r="K216" s="83" t="str">
        <f>IFERROR(IFERROR(VLOOKUP(I216,'DE-PARA'!B:D,3,0),VLOOKUP(I216,'DE-PARA'!C:D,2,0)),"NÃO ENCONTRADO")</f>
        <v>Rescisões Trabalhistas</v>
      </c>
      <c r="L216" s="50" t="str">
        <f>VLOOKUP(K216,'Base -Receita-Despesa'!$B:$P,1,FALSE)</f>
        <v>Rescisões Trabalhistas</v>
      </c>
    </row>
    <row r="217" spans="1:12" ht="15" customHeight="1" x14ac:dyDescent="0.3">
      <c r="A217" s="82" t="str">
        <f t="shared" si="6"/>
        <v>2016</v>
      </c>
      <c r="B217" s="72" t="s">
        <v>131</v>
      </c>
      <c r="C217" s="73" t="s">
        <v>132</v>
      </c>
      <c r="D217" s="74" t="str">
        <f t="shared" si="7"/>
        <v>fev/2016</v>
      </c>
      <c r="E217" s="53">
        <v>42412</v>
      </c>
      <c r="F217" s="75" t="s">
        <v>136</v>
      </c>
      <c r="G217" s="72"/>
      <c r="H217" s="49" t="s">
        <v>149</v>
      </c>
      <c r="I217" s="49" t="s">
        <v>129</v>
      </c>
      <c r="J217" s="76">
        <v>-7.85</v>
      </c>
      <c r="K217" s="83" t="str">
        <f>IFERROR(IFERROR(VLOOKUP(I217,'DE-PARA'!B:D,3,0),VLOOKUP(I217,'DE-PARA'!C:D,2,0)),"NÃO ENCONTRADO")</f>
        <v>Outras Saídas</v>
      </c>
      <c r="L217" s="50" t="str">
        <f>VLOOKUP(K217,'Base -Receita-Despesa'!$B:$P,1,FALSE)</f>
        <v>Outras Saídas</v>
      </c>
    </row>
    <row r="218" spans="1:12" ht="15" customHeight="1" x14ac:dyDescent="0.3">
      <c r="A218" s="82" t="str">
        <f t="shared" si="6"/>
        <v>2016</v>
      </c>
      <c r="B218" s="72" t="s">
        <v>131</v>
      </c>
      <c r="C218" s="73" t="s">
        <v>132</v>
      </c>
      <c r="D218" s="74" t="str">
        <f t="shared" si="7"/>
        <v>fev/2016</v>
      </c>
      <c r="E218" s="53">
        <v>42412</v>
      </c>
      <c r="F218" s="75" t="s">
        <v>136</v>
      </c>
      <c r="G218" s="72"/>
      <c r="H218" s="49" t="s">
        <v>149</v>
      </c>
      <c r="I218" s="49" t="s">
        <v>129</v>
      </c>
      <c r="J218" s="76">
        <v>-7.85</v>
      </c>
      <c r="K218" s="83" t="str">
        <f>IFERROR(IFERROR(VLOOKUP(I218,'DE-PARA'!B:D,3,0),VLOOKUP(I218,'DE-PARA'!C:D,2,0)),"NÃO ENCONTRADO")</f>
        <v>Outras Saídas</v>
      </c>
      <c r="L218" s="50" t="str">
        <f>VLOOKUP(K218,'Base -Receita-Despesa'!$B:$P,1,FALSE)</f>
        <v>Outras Saídas</v>
      </c>
    </row>
    <row r="219" spans="1:12" ht="15" customHeight="1" x14ac:dyDescent="0.3">
      <c r="A219" s="82" t="str">
        <f t="shared" si="6"/>
        <v>2016</v>
      </c>
      <c r="B219" s="72" t="s">
        <v>131</v>
      </c>
      <c r="C219" s="73" t="s">
        <v>132</v>
      </c>
      <c r="D219" s="74" t="str">
        <f t="shared" si="7"/>
        <v>fev/2016</v>
      </c>
      <c r="E219" s="53">
        <v>42412</v>
      </c>
      <c r="F219" s="75" t="s">
        <v>136</v>
      </c>
      <c r="G219" s="72"/>
      <c r="H219" s="49" t="s">
        <v>149</v>
      </c>
      <c r="I219" s="49" t="s">
        <v>129</v>
      </c>
      <c r="J219" s="76">
        <v>-7.85</v>
      </c>
      <c r="K219" s="83" t="str">
        <f>IFERROR(IFERROR(VLOOKUP(I219,'DE-PARA'!B:D,3,0),VLOOKUP(I219,'DE-PARA'!C:D,2,0)),"NÃO ENCONTRADO")</f>
        <v>Outras Saídas</v>
      </c>
      <c r="L219" s="50" t="str">
        <f>VLOOKUP(K219,'Base -Receita-Despesa'!$B:$P,1,FALSE)</f>
        <v>Outras Saídas</v>
      </c>
    </row>
    <row r="220" spans="1:12" ht="15" customHeight="1" x14ac:dyDescent="0.3">
      <c r="A220" s="82" t="str">
        <f t="shared" si="6"/>
        <v>2016</v>
      </c>
      <c r="B220" s="72" t="s">
        <v>131</v>
      </c>
      <c r="C220" s="73" t="s">
        <v>132</v>
      </c>
      <c r="D220" s="74" t="str">
        <f t="shared" si="7"/>
        <v>fev/2016</v>
      </c>
      <c r="E220" s="53">
        <v>42412</v>
      </c>
      <c r="F220" s="75" t="s">
        <v>123</v>
      </c>
      <c r="G220" s="72"/>
      <c r="H220" s="49" t="s">
        <v>388</v>
      </c>
      <c r="I220" s="49" t="s">
        <v>124</v>
      </c>
      <c r="J220" s="76">
        <v>-1022.83</v>
      </c>
      <c r="K220" s="83" t="str">
        <f>IFERROR(IFERROR(VLOOKUP(I220,'DE-PARA'!B:D,3,0),VLOOKUP(I220,'DE-PARA'!C:D,2,0)),"NÃO ENCONTRADO")</f>
        <v>Rescisões Trabalhistas</v>
      </c>
      <c r="L220" s="50" t="str">
        <f>VLOOKUP(K220,'Base -Receita-Despesa'!$B:$P,1,FALSE)</f>
        <v>Rescisões Trabalhistas</v>
      </c>
    </row>
    <row r="221" spans="1:12" ht="15" customHeight="1" x14ac:dyDescent="0.3">
      <c r="A221" s="82" t="str">
        <f t="shared" si="6"/>
        <v>2016</v>
      </c>
      <c r="B221" s="72" t="s">
        <v>131</v>
      </c>
      <c r="C221" s="73" t="s">
        <v>132</v>
      </c>
      <c r="D221" s="74" t="str">
        <f t="shared" si="7"/>
        <v>fev/2016</v>
      </c>
      <c r="E221" s="53">
        <v>42412</v>
      </c>
      <c r="F221" s="75" t="s">
        <v>133</v>
      </c>
      <c r="G221" s="72"/>
      <c r="H221" s="49" t="s">
        <v>389</v>
      </c>
      <c r="I221" s="49" t="s">
        <v>135</v>
      </c>
      <c r="J221" s="76">
        <v>-203.73</v>
      </c>
      <c r="K221" s="83" t="str">
        <f>IFERROR(IFERROR(VLOOKUP(I221,'DE-PARA'!B:D,3,0),VLOOKUP(I221,'DE-PARA'!C:D,2,0)),"NÃO ENCONTRADO")</f>
        <v>Pessoal</v>
      </c>
      <c r="L221" s="50" t="str">
        <f>VLOOKUP(K221,'Base -Receita-Despesa'!$B:$P,1,FALSE)</f>
        <v>Pessoal</v>
      </c>
    </row>
    <row r="222" spans="1:12" ht="15" customHeight="1" x14ac:dyDescent="0.3">
      <c r="A222" s="82" t="str">
        <f t="shared" si="6"/>
        <v>2016</v>
      </c>
      <c r="B222" s="72" t="s">
        <v>131</v>
      </c>
      <c r="C222" s="73" t="s">
        <v>132</v>
      </c>
      <c r="D222" s="74" t="str">
        <f t="shared" si="7"/>
        <v>fev/2016</v>
      </c>
      <c r="E222" s="53">
        <v>42412</v>
      </c>
      <c r="F222" s="75" t="s">
        <v>133</v>
      </c>
      <c r="G222" s="72"/>
      <c r="H222" s="49" t="s">
        <v>390</v>
      </c>
      <c r="I222" s="49" t="s">
        <v>135</v>
      </c>
      <c r="J222" s="76">
        <v>-152.16</v>
      </c>
      <c r="K222" s="83" t="str">
        <f>IFERROR(IFERROR(VLOOKUP(I222,'DE-PARA'!B:D,3,0),VLOOKUP(I222,'DE-PARA'!C:D,2,0)),"NÃO ENCONTRADO")</f>
        <v>Pessoal</v>
      </c>
      <c r="L222" s="50" t="str">
        <f>VLOOKUP(K222,'Base -Receita-Despesa'!$B:$P,1,FALSE)</f>
        <v>Pessoal</v>
      </c>
    </row>
    <row r="223" spans="1:12" ht="15" customHeight="1" x14ac:dyDescent="0.3">
      <c r="A223" s="82" t="str">
        <f t="shared" si="6"/>
        <v>2016</v>
      </c>
      <c r="B223" s="72" t="s">
        <v>131</v>
      </c>
      <c r="C223" s="73" t="s">
        <v>132</v>
      </c>
      <c r="D223" s="74" t="str">
        <f t="shared" si="7"/>
        <v>fev/2016</v>
      </c>
      <c r="E223" s="53">
        <v>42412</v>
      </c>
      <c r="F223" s="75" t="s">
        <v>133</v>
      </c>
      <c r="G223" s="72"/>
      <c r="H223" s="49" t="s">
        <v>391</v>
      </c>
      <c r="I223" s="49" t="s">
        <v>135</v>
      </c>
      <c r="J223" s="76">
        <v>-699.7</v>
      </c>
      <c r="K223" s="83" t="str">
        <f>IFERROR(IFERROR(VLOOKUP(I223,'DE-PARA'!B:D,3,0),VLOOKUP(I223,'DE-PARA'!C:D,2,0)),"NÃO ENCONTRADO")</f>
        <v>Pessoal</v>
      </c>
      <c r="L223" s="50" t="str">
        <f>VLOOKUP(K223,'Base -Receita-Despesa'!$B:$P,1,FALSE)</f>
        <v>Pessoal</v>
      </c>
    </row>
    <row r="224" spans="1:12" ht="15" customHeight="1" x14ac:dyDescent="0.3">
      <c r="A224" s="82" t="str">
        <f t="shared" si="6"/>
        <v>2016</v>
      </c>
      <c r="B224" s="72" t="s">
        <v>131</v>
      </c>
      <c r="C224" s="73" t="s">
        <v>132</v>
      </c>
      <c r="D224" s="74" t="str">
        <f t="shared" si="7"/>
        <v>fev/2016</v>
      </c>
      <c r="E224" s="53">
        <v>42412</v>
      </c>
      <c r="F224" s="75" t="s">
        <v>133</v>
      </c>
      <c r="G224" s="72"/>
      <c r="H224" s="49" t="s">
        <v>392</v>
      </c>
      <c r="I224" s="49" t="s">
        <v>135</v>
      </c>
      <c r="J224" s="76">
        <v>-3258.16</v>
      </c>
      <c r="K224" s="83" t="str">
        <f>IFERROR(IFERROR(VLOOKUP(I224,'DE-PARA'!B:D,3,0),VLOOKUP(I224,'DE-PARA'!C:D,2,0)),"NÃO ENCONTRADO")</f>
        <v>Pessoal</v>
      </c>
      <c r="L224" s="50" t="str">
        <f>VLOOKUP(K224,'Base -Receita-Despesa'!$B:$P,1,FALSE)</f>
        <v>Pessoal</v>
      </c>
    </row>
    <row r="225" spans="1:12" ht="15" customHeight="1" x14ac:dyDescent="0.3">
      <c r="A225" s="82" t="str">
        <f t="shared" si="6"/>
        <v>2016</v>
      </c>
      <c r="B225" s="72" t="s">
        <v>131</v>
      </c>
      <c r="C225" s="73" t="s">
        <v>132</v>
      </c>
      <c r="D225" s="74" t="str">
        <f t="shared" si="7"/>
        <v>fev/2016</v>
      </c>
      <c r="E225" s="53">
        <v>42412</v>
      </c>
      <c r="F225" s="75" t="s">
        <v>133</v>
      </c>
      <c r="G225" s="72"/>
      <c r="H225" s="49" t="s">
        <v>393</v>
      </c>
      <c r="I225" s="49" t="s">
        <v>135</v>
      </c>
      <c r="J225" s="76">
        <v>-3185.51</v>
      </c>
      <c r="K225" s="83" t="str">
        <f>IFERROR(IFERROR(VLOOKUP(I225,'DE-PARA'!B:D,3,0),VLOOKUP(I225,'DE-PARA'!C:D,2,0)),"NÃO ENCONTRADO")</f>
        <v>Pessoal</v>
      </c>
      <c r="L225" s="50" t="str">
        <f>VLOOKUP(K225,'Base -Receita-Despesa'!$B:$P,1,FALSE)</f>
        <v>Pessoal</v>
      </c>
    </row>
    <row r="226" spans="1:12" ht="15" customHeight="1" x14ac:dyDescent="0.3">
      <c r="A226" s="82" t="str">
        <f t="shared" si="6"/>
        <v>2016</v>
      </c>
      <c r="B226" s="72" t="s">
        <v>131</v>
      </c>
      <c r="C226" s="73" t="s">
        <v>132</v>
      </c>
      <c r="D226" s="74" t="str">
        <f t="shared" si="7"/>
        <v>fev/2016</v>
      </c>
      <c r="E226" s="53">
        <v>42412</v>
      </c>
      <c r="F226" s="75" t="s">
        <v>133</v>
      </c>
      <c r="G226" s="72"/>
      <c r="H226" s="49" t="s">
        <v>394</v>
      </c>
      <c r="I226" s="49" t="s">
        <v>135</v>
      </c>
      <c r="J226" s="76">
        <v>-152.16</v>
      </c>
      <c r="K226" s="83" t="str">
        <f>IFERROR(IFERROR(VLOOKUP(I226,'DE-PARA'!B:D,3,0),VLOOKUP(I226,'DE-PARA'!C:D,2,0)),"NÃO ENCONTRADO")</f>
        <v>Pessoal</v>
      </c>
      <c r="L226" s="50" t="str">
        <f>VLOOKUP(K226,'Base -Receita-Despesa'!$B:$P,1,FALSE)</f>
        <v>Pessoal</v>
      </c>
    </row>
    <row r="227" spans="1:12" ht="15" customHeight="1" x14ac:dyDescent="0.3">
      <c r="A227" s="82" t="str">
        <f t="shared" si="6"/>
        <v>2016</v>
      </c>
      <c r="B227" s="72" t="s">
        <v>131</v>
      </c>
      <c r="C227" s="73" t="s">
        <v>132</v>
      </c>
      <c r="D227" s="74" t="str">
        <f t="shared" si="7"/>
        <v>fev/2016</v>
      </c>
      <c r="E227" s="53">
        <v>42415</v>
      </c>
      <c r="F227" s="75" t="s">
        <v>133</v>
      </c>
      <c r="G227" s="72"/>
      <c r="H227" s="49" t="s">
        <v>395</v>
      </c>
      <c r="I227" s="49" t="s">
        <v>135</v>
      </c>
      <c r="J227" s="76">
        <v>-4954.99</v>
      </c>
      <c r="K227" s="83" t="str">
        <f>IFERROR(IFERROR(VLOOKUP(I227,'DE-PARA'!B:D,3,0),VLOOKUP(I227,'DE-PARA'!C:D,2,0)),"NÃO ENCONTRADO")</f>
        <v>Pessoal</v>
      </c>
      <c r="L227" s="50" t="str">
        <f>VLOOKUP(K227,'Base -Receita-Despesa'!$B:$P,1,FALSE)</f>
        <v>Pessoal</v>
      </c>
    </row>
    <row r="228" spans="1:12" ht="15" customHeight="1" x14ac:dyDescent="0.3">
      <c r="A228" s="82" t="str">
        <f t="shared" si="6"/>
        <v>2016</v>
      </c>
      <c r="B228" s="72" t="s">
        <v>131</v>
      </c>
      <c r="C228" s="73" t="s">
        <v>132</v>
      </c>
      <c r="D228" s="74" t="str">
        <f t="shared" si="7"/>
        <v>fev/2016</v>
      </c>
      <c r="E228" s="53">
        <v>42415</v>
      </c>
      <c r="F228" s="75" t="s">
        <v>396</v>
      </c>
      <c r="G228" s="72"/>
      <c r="H228" s="49" t="s">
        <v>176</v>
      </c>
      <c r="I228" s="49" t="s">
        <v>177</v>
      </c>
      <c r="J228" s="76">
        <v>-1794.48</v>
      </c>
      <c r="K228" s="83" t="str">
        <f>IFERROR(IFERROR(VLOOKUP(I228,'DE-PARA'!B:D,3,0),VLOOKUP(I228,'DE-PARA'!C:D,2,0)),"NÃO ENCONTRADO")</f>
        <v>Materiais</v>
      </c>
      <c r="L228" s="50" t="str">
        <f>VLOOKUP(K228,'Base -Receita-Despesa'!$B:$P,1,FALSE)</f>
        <v>Materiais</v>
      </c>
    </row>
    <row r="229" spans="1:12" ht="15" customHeight="1" x14ac:dyDescent="0.3">
      <c r="A229" s="82" t="str">
        <f t="shared" si="6"/>
        <v>2016</v>
      </c>
      <c r="B229" s="72" t="s">
        <v>131</v>
      </c>
      <c r="C229" s="73" t="s">
        <v>132</v>
      </c>
      <c r="D229" s="74" t="str">
        <f t="shared" si="7"/>
        <v>fev/2016</v>
      </c>
      <c r="E229" s="53">
        <v>42415</v>
      </c>
      <c r="F229" s="75" t="s">
        <v>133</v>
      </c>
      <c r="G229" s="72"/>
      <c r="H229" s="49" t="s">
        <v>397</v>
      </c>
      <c r="I229" s="49" t="s">
        <v>135</v>
      </c>
      <c r="J229" s="76">
        <v>-5039.83</v>
      </c>
      <c r="K229" s="83" t="str">
        <f>IFERROR(IFERROR(VLOOKUP(I229,'DE-PARA'!B:D,3,0),VLOOKUP(I229,'DE-PARA'!C:D,2,0)),"NÃO ENCONTRADO")</f>
        <v>Pessoal</v>
      </c>
      <c r="L229" s="50" t="str">
        <f>VLOOKUP(K229,'Base -Receita-Despesa'!$B:$P,1,FALSE)</f>
        <v>Pessoal</v>
      </c>
    </row>
    <row r="230" spans="1:12" ht="15" customHeight="1" x14ac:dyDescent="0.3">
      <c r="A230" s="82" t="str">
        <f t="shared" si="6"/>
        <v>2016</v>
      </c>
      <c r="B230" s="72" t="s">
        <v>131</v>
      </c>
      <c r="C230" s="73" t="s">
        <v>132</v>
      </c>
      <c r="D230" s="74" t="str">
        <f t="shared" si="7"/>
        <v>fev/2016</v>
      </c>
      <c r="E230" s="53">
        <v>42415</v>
      </c>
      <c r="F230" s="75" t="s">
        <v>136</v>
      </c>
      <c r="G230" s="72"/>
      <c r="H230" s="49" t="s">
        <v>149</v>
      </c>
      <c r="I230" s="49" t="s">
        <v>129</v>
      </c>
      <c r="J230" s="76">
        <v>-7.85</v>
      </c>
      <c r="K230" s="83" t="str">
        <f>IFERROR(IFERROR(VLOOKUP(I230,'DE-PARA'!B:D,3,0),VLOOKUP(I230,'DE-PARA'!C:D,2,0)),"NÃO ENCONTRADO")</f>
        <v>Outras Saídas</v>
      </c>
      <c r="L230" s="50" t="str">
        <f>VLOOKUP(K230,'Base -Receita-Despesa'!$B:$P,1,FALSE)</f>
        <v>Outras Saídas</v>
      </c>
    </row>
    <row r="231" spans="1:12" ht="15" customHeight="1" x14ac:dyDescent="0.3">
      <c r="A231" s="82" t="str">
        <f t="shared" si="6"/>
        <v>2016</v>
      </c>
      <c r="B231" s="72" t="s">
        <v>131</v>
      </c>
      <c r="C231" s="73" t="s">
        <v>132</v>
      </c>
      <c r="D231" s="74" t="str">
        <f t="shared" si="7"/>
        <v>fev/2016</v>
      </c>
      <c r="E231" s="53">
        <v>42415</v>
      </c>
      <c r="F231" s="75" t="s">
        <v>199</v>
      </c>
      <c r="G231" s="72"/>
      <c r="H231" s="49" t="s">
        <v>200</v>
      </c>
      <c r="I231" s="49" t="s">
        <v>192</v>
      </c>
      <c r="J231" s="76">
        <v>-36</v>
      </c>
      <c r="K231" s="83" t="str">
        <f>IFERROR(IFERROR(VLOOKUP(I231,'DE-PARA'!B:D,3,0),VLOOKUP(I231,'DE-PARA'!C:D,2,0)),"NÃO ENCONTRADO")</f>
        <v>Materiais</v>
      </c>
      <c r="L231" s="50" t="str">
        <f>VLOOKUP(K231,'Base -Receita-Despesa'!$B:$P,1,FALSE)</f>
        <v>Materiais</v>
      </c>
    </row>
    <row r="232" spans="1:12" ht="15" customHeight="1" x14ac:dyDescent="0.3">
      <c r="A232" s="82" t="str">
        <f t="shared" si="6"/>
        <v>2016</v>
      </c>
      <c r="B232" s="72" t="s">
        <v>131</v>
      </c>
      <c r="C232" s="73" t="s">
        <v>132</v>
      </c>
      <c r="D232" s="74" t="str">
        <f t="shared" si="7"/>
        <v>fev/2016</v>
      </c>
      <c r="E232" s="53">
        <v>42415</v>
      </c>
      <c r="F232" s="75" t="s">
        <v>164</v>
      </c>
      <c r="G232" s="72"/>
      <c r="H232" s="49" t="s">
        <v>165</v>
      </c>
      <c r="I232" s="49" t="s">
        <v>113</v>
      </c>
      <c r="J232" s="76">
        <v>-3982.64</v>
      </c>
      <c r="K232" s="83" t="str">
        <f>IFERROR(IFERROR(VLOOKUP(I232,'DE-PARA'!B:D,3,0),VLOOKUP(I232,'DE-PARA'!C:D,2,0)),"NÃO ENCONTRADO")</f>
        <v>Serviços</v>
      </c>
      <c r="L232" s="50" t="str">
        <f>VLOOKUP(K232,'Base -Receita-Despesa'!$B:$P,1,FALSE)</f>
        <v>Serviços</v>
      </c>
    </row>
    <row r="233" spans="1:12" ht="15" customHeight="1" x14ac:dyDescent="0.3">
      <c r="A233" s="82" t="str">
        <f t="shared" si="6"/>
        <v>2016</v>
      </c>
      <c r="B233" s="72" t="s">
        <v>131</v>
      </c>
      <c r="C233" s="73" t="s">
        <v>132</v>
      </c>
      <c r="D233" s="74" t="str">
        <f t="shared" si="7"/>
        <v>fev/2016</v>
      </c>
      <c r="E233" s="53">
        <v>42415</v>
      </c>
      <c r="F233" s="75" t="s">
        <v>164</v>
      </c>
      <c r="G233" s="72"/>
      <c r="H233" s="49" t="s">
        <v>389</v>
      </c>
      <c r="I233" s="49" t="s">
        <v>168</v>
      </c>
      <c r="J233" s="76">
        <v>-9.84</v>
      </c>
      <c r="K233" s="83" t="str">
        <f>IFERROR(IFERROR(VLOOKUP(I233,'DE-PARA'!B:D,3,0),VLOOKUP(I233,'DE-PARA'!C:D,2,0)),"NÃO ENCONTRADO")</f>
        <v>Pessoal</v>
      </c>
      <c r="L233" s="50" t="str">
        <f>VLOOKUP(K233,'Base -Receita-Despesa'!$B:$P,1,FALSE)</f>
        <v>Pessoal</v>
      </c>
    </row>
    <row r="234" spans="1:12" ht="15" customHeight="1" x14ac:dyDescent="0.3">
      <c r="A234" s="82" t="str">
        <f t="shared" si="6"/>
        <v>2016</v>
      </c>
      <c r="B234" s="72" t="s">
        <v>131</v>
      </c>
      <c r="C234" s="73" t="s">
        <v>132</v>
      </c>
      <c r="D234" s="74" t="str">
        <f t="shared" si="7"/>
        <v>fev/2016</v>
      </c>
      <c r="E234" s="53">
        <v>42415</v>
      </c>
      <c r="F234" s="75" t="s">
        <v>164</v>
      </c>
      <c r="G234" s="72"/>
      <c r="H234" s="49" t="s">
        <v>390</v>
      </c>
      <c r="I234" s="49" t="s">
        <v>168</v>
      </c>
      <c r="J234" s="76">
        <v>-8.0399999999999991</v>
      </c>
      <c r="K234" s="83" t="str">
        <f>IFERROR(IFERROR(VLOOKUP(I234,'DE-PARA'!B:D,3,0),VLOOKUP(I234,'DE-PARA'!C:D,2,0)),"NÃO ENCONTRADO")</f>
        <v>Pessoal</v>
      </c>
      <c r="L234" s="50" t="str">
        <f>VLOOKUP(K234,'Base -Receita-Despesa'!$B:$P,1,FALSE)</f>
        <v>Pessoal</v>
      </c>
    </row>
    <row r="235" spans="1:12" ht="15" customHeight="1" x14ac:dyDescent="0.3">
      <c r="A235" s="82" t="str">
        <f t="shared" si="6"/>
        <v>2016</v>
      </c>
      <c r="B235" s="72" t="s">
        <v>131</v>
      </c>
      <c r="C235" s="73" t="s">
        <v>132</v>
      </c>
      <c r="D235" s="74" t="str">
        <f t="shared" si="7"/>
        <v>fev/2016</v>
      </c>
      <c r="E235" s="53">
        <v>42415</v>
      </c>
      <c r="F235" s="75" t="s">
        <v>199</v>
      </c>
      <c r="G235" s="72"/>
      <c r="H235" s="49" t="s">
        <v>398</v>
      </c>
      <c r="I235" s="49" t="s">
        <v>192</v>
      </c>
      <c r="J235" s="76">
        <v>-73.150000000000006</v>
      </c>
      <c r="K235" s="83" t="str">
        <f>IFERROR(IFERROR(VLOOKUP(I235,'DE-PARA'!B:D,3,0),VLOOKUP(I235,'DE-PARA'!C:D,2,0)),"NÃO ENCONTRADO")</f>
        <v>Materiais</v>
      </c>
      <c r="L235" s="50" t="str">
        <f>VLOOKUP(K235,'Base -Receita-Despesa'!$B:$P,1,FALSE)</f>
        <v>Materiais</v>
      </c>
    </row>
    <row r="236" spans="1:12" ht="15" customHeight="1" x14ac:dyDescent="0.3">
      <c r="A236" s="82" t="str">
        <f t="shared" si="6"/>
        <v>2016</v>
      </c>
      <c r="B236" s="72" t="s">
        <v>131</v>
      </c>
      <c r="C236" s="73" t="s">
        <v>132</v>
      </c>
      <c r="D236" s="74" t="str">
        <f t="shared" si="7"/>
        <v>fev/2016</v>
      </c>
      <c r="E236" s="53">
        <v>42415</v>
      </c>
      <c r="F236" s="75" t="s">
        <v>164</v>
      </c>
      <c r="G236" s="72"/>
      <c r="H236" s="49" t="s">
        <v>399</v>
      </c>
      <c r="I236" s="49" t="s">
        <v>168</v>
      </c>
      <c r="J236" s="76">
        <v>-122.64</v>
      </c>
      <c r="K236" s="83" t="str">
        <f>IFERROR(IFERROR(VLOOKUP(I236,'DE-PARA'!B:D,3,0),VLOOKUP(I236,'DE-PARA'!C:D,2,0)),"NÃO ENCONTRADO")</f>
        <v>Pessoal</v>
      </c>
      <c r="L236" s="50" t="str">
        <f>VLOOKUP(K236,'Base -Receita-Despesa'!$B:$P,1,FALSE)</f>
        <v>Pessoal</v>
      </c>
    </row>
    <row r="237" spans="1:12" ht="15" customHeight="1" x14ac:dyDescent="0.3">
      <c r="A237" s="82" t="str">
        <f t="shared" si="6"/>
        <v>2016</v>
      </c>
      <c r="B237" s="72" t="s">
        <v>131</v>
      </c>
      <c r="C237" s="73" t="s">
        <v>132</v>
      </c>
      <c r="D237" s="74" t="str">
        <f t="shared" si="7"/>
        <v>fev/2016</v>
      </c>
      <c r="E237" s="53">
        <v>42415</v>
      </c>
      <c r="F237" s="75" t="s">
        <v>133</v>
      </c>
      <c r="G237" s="72"/>
      <c r="H237" s="49" t="s">
        <v>399</v>
      </c>
      <c r="I237" s="49" t="s">
        <v>135</v>
      </c>
      <c r="J237" s="76">
        <v>-6012.83</v>
      </c>
      <c r="K237" s="83" t="str">
        <f>IFERROR(IFERROR(VLOOKUP(I237,'DE-PARA'!B:D,3,0),VLOOKUP(I237,'DE-PARA'!C:D,2,0)),"NÃO ENCONTRADO")</f>
        <v>Pessoal</v>
      </c>
      <c r="L237" s="50" t="str">
        <f>VLOOKUP(K237,'Base -Receita-Despesa'!$B:$P,1,FALSE)</f>
        <v>Pessoal</v>
      </c>
    </row>
    <row r="238" spans="1:12" ht="15" customHeight="1" x14ac:dyDescent="0.3">
      <c r="A238" s="82" t="str">
        <f t="shared" si="6"/>
        <v>2016</v>
      </c>
      <c r="B238" s="72" t="s">
        <v>131</v>
      </c>
      <c r="C238" s="73" t="s">
        <v>132</v>
      </c>
      <c r="D238" s="74" t="str">
        <f t="shared" si="7"/>
        <v>fev/2016</v>
      </c>
      <c r="E238" s="53">
        <v>42415</v>
      </c>
      <c r="F238" s="75" t="s">
        <v>133</v>
      </c>
      <c r="G238" s="72"/>
      <c r="H238" s="49" t="s">
        <v>400</v>
      </c>
      <c r="I238" s="49" t="s">
        <v>135</v>
      </c>
      <c r="J238" s="76">
        <v>-13234.4</v>
      </c>
      <c r="K238" s="83" t="str">
        <f>IFERROR(IFERROR(VLOOKUP(I238,'DE-PARA'!B:D,3,0),VLOOKUP(I238,'DE-PARA'!C:D,2,0)),"NÃO ENCONTRADO")</f>
        <v>Pessoal</v>
      </c>
      <c r="L238" s="50" t="str">
        <f>VLOOKUP(K238,'Base -Receita-Despesa'!$B:$P,1,FALSE)</f>
        <v>Pessoal</v>
      </c>
    </row>
    <row r="239" spans="1:12" ht="15" customHeight="1" x14ac:dyDescent="0.3">
      <c r="A239" s="82" t="str">
        <f t="shared" si="6"/>
        <v>2016</v>
      </c>
      <c r="B239" s="72" t="s">
        <v>131</v>
      </c>
      <c r="C239" s="73" t="s">
        <v>132</v>
      </c>
      <c r="D239" s="74" t="str">
        <f t="shared" si="7"/>
        <v>fev/2016</v>
      </c>
      <c r="E239" s="53">
        <v>42415</v>
      </c>
      <c r="F239" s="75" t="s">
        <v>164</v>
      </c>
      <c r="G239" s="72"/>
      <c r="H239" s="49" t="s">
        <v>391</v>
      </c>
      <c r="I239" s="49" t="s">
        <v>168</v>
      </c>
      <c r="J239" s="76">
        <v>-27.14</v>
      </c>
      <c r="K239" s="83" t="str">
        <f>IFERROR(IFERROR(VLOOKUP(I239,'DE-PARA'!B:D,3,0),VLOOKUP(I239,'DE-PARA'!C:D,2,0)),"NÃO ENCONTRADO")</f>
        <v>Pessoal</v>
      </c>
      <c r="L239" s="50" t="str">
        <f>VLOOKUP(K239,'Base -Receita-Despesa'!$B:$P,1,FALSE)</f>
        <v>Pessoal</v>
      </c>
    </row>
    <row r="240" spans="1:12" ht="15" customHeight="1" x14ac:dyDescent="0.3">
      <c r="A240" s="82" t="str">
        <f t="shared" si="6"/>
        <v>2016</v>
      </c>
      <c r="B240" s="72" t="s">
        <v>131</v>
      </c>
      <c r="C240" s="73" t="s">
        <v>132</v>
      </c>
      <c r="D240" s="74" t="str">
        <f t="shared" si="7"/>
        <v>fev/2016</v>
      </c>
      <c r="E240" s="53">
        <v>42415</v>
      </c>
      <c r="F240" s="75" t="s">
        <v>164</v>
      </c>
      <c r="G240" s="72"/>
      <c r="H240" s="49" t="s">
        <v>392</v>
      </c>
      <c r="I240" s="49" t="s">
        <v>168</v>
      </c>
      <c r="J240" s="76">
        <v>-122.64</v>
      </c>
      <c r="K240" s="83" t="str">
        <f>IFERROR(IFERROR(VLOOKUP(I240,'DE-PARA'!B:D,3,0),VLOOKUP(I240,'DE-PARA'!C:D,2,0)),"NÃO ENCONTRADO")</f>
        <v>Pessoal</v>
      </c>
      <c r="L240" s="50" t="str">
        <f>VLOOKUP(K240,'Base -Receita-Despesa'!$B:$P,1,FALSE)</f>
        <v>Pessoal</v>
      </c>
    </row>
    <row r="241" spans="1:12" ht="15" customHeight="1" x14ac:dyDescent="0.3">
      <c r="A241" s="82" t="str">
        <f t="shared" si="6"/>
        <v>2016</v>
      </c>
      <c r="B241" s="72" t="s">
        <v>131</v>
      </c>
      <c r="C241" s="73" t="s">
        <v>132</v>
      </c>
      <c r="D241" s="74" t="str">
        <f t="shared" si="7"/>
        <v>fev/2016</v>
      </c>
      <c r="E241" s="53">
        <v>42415</v>
      </c>
      <c r="F241" s="75" t="s">
        <v>133</v>
      </c>
      <c r="G241" s="72"/>
      <c r="H241" s="49" t="s">
        <v>401</v>
      </c>
      <c r="I241" s="49" t="s">
        <v>135</v>
      </c>
      <c r="J241" s="76">
        <v>-12510.11</v>
      </c>
      <c r="K241" s="83" t="str">
        <f>IFERROR(IFERROR(VLOOKUP(I241,'DE-PARA'!B:D,3,0),VLOOKUP(I241,'DE-PARA'!C:D,2,0)),"NÃO ENCONTRADO")</f>
        <v>Pessoal</v>
      </c>
      <c r="L241" s="50" t="str">
        <f>VLOOKUP(K241,'Base -Receita-Despesa'!$B:$P,1,FALSE)</f>
        <v>Pessoal</v>
      </c>
    </row>
    <row r="242" spans="1:12" ht="15" customHeight="1" x14ac:dyDescent="0.3">
      <c r="A242" s="82" t="str">
        <f t="shared" si="6"/>
        <v>2016</v>
      </c>
      <c r="B242" s="72" t="s">
        <v>131</v>
      </c>
      <c r="C242" s="73" t="s">
        <v>132</v>
      </c>
      <c r="D242" s="74" t="str">
        <f t="shared" si="7"/>
        <v>fev/2016</v>
      </c>
      <c r="E242" s="53">
        <v>42415</v>
      </c>
      <c r="F242" s="75" t="s">
        <v>402</v>
      </c>
      <c r="G242" s="72"/>
      <c r="H242" s="49" t="s">
        <v>213</v>
      </c>
      <c r="I242" s="49" t="s">
        <v>159</v>
      </c>
      <c r="J242" s="76">
        <v>-414.68</v>
      </c>
      <c r="K242" s="83" t="str">
        <f>IFERROR(IFERROR(VLOOKUP(I242,'DE-PARA'!B:D,3,0),VLOOKUP(I242,'DE-PARA'!C:D,2,0)),"NÃO ENCONTRADO")</f>
        <v>Materiais</v>
      </c>
      <c r="L242" s="50" t="str">
        <f>VLOOKUP(K242,'Base -Receita-Despesa'!$B:$P,1,FALSE)</f>
        <v>Materiais</v>
      </c>
    </row>
    <row r="243" spans="1:12" ht="15" customHeight="1" x14ac:dyDescent="0.3">
      <c r="A243" s="82" t="str">
        <f t="shared" si="6"/>
        <v>2016</v>
      </c>
      <c r="B243" s="72" t="s">
        <v>131</v>
      </c>
      <c r="C243" s="73" t="s">
        <v>132</v>
      </c>
      <c r="D243" s="74" t="str">
        <f t="shared" si="7"/>
        <v>fev/2016</v>
      </c>
      <c r="E243" s="53">
        <v>42415</v>
      </c>
      <c r="F243" s="75" t="s">
        <v>403</v>
      </c>
      <c r="G243" s="72"/>
      <c r="H243" s="49" t="s">
        <v>213</v>
      </c>
      <c r="I243" s="49" t="s">
        <v>159</v>
      </c>
      <c r="J243" s="76">
        <v>-215.35</v>
      </c>
      <c r="K243" s="83" t="str">
        <f>IFERROR(IFERROR(VLOOKUP(I243,'DE-PARA'!B:D,3,0),VLOOKUP(I243,'DE-PARA'!C:D,2,0)),"NÃO ENCONTRADO")</f>
        <v>Materiais</v>
      </c>
      <c r="L243" s="50" t="str">
        <f>VLOOKUP(K243,'Base -Receita-Despesa'!$B:$P,1,FALSE)</f>
        <v>Materiais</v>
      </c>
    </row>
    <row r="244" spans="1:12" ht="15" customHeight="1" x14ac:dyDescent="0.3">
      <c r="A244" s="82" t="str">
        <f t="shared" si="6"/>
        <v>2016</v>
      </c>
      <c r="B244" s="72" t="s">
        <v>131</v>
      </c>
      <c r="C244" s="73" t="s">
        <v>132</v>
      </c>
      <c r="D244" s="74" t="str">
        <f t="shared" si="7"/>
        <v>fev/2016</v>
      </c>
      <c r="E244" s="53">
        <v>42415</v>
      </c>
      <c r="F244" s="75" t="s">
        <v>199</v>
      </c>
      <c r="G244" s="72"/>
      <c r="H244" s="49" t="s">
        <v>383</v>
      </c>
      <c r="I244" s="49" t="s">
        <v>192</v>
      </c>
      <c r="J244" s="76">
        <v>-386.53</v>
      </c>
      <c r="K244" s="83" t="str">
        <f>IFERROR(IFERROR(VLOOKUP(I244,'DE-PARA'!B:D,3,0),VLOOKUP(I244,'DE-PARA'!C:D,2,0)),"NÃO ENCONTRADO")</f>
        <v>Materiais</v>
      </c>
      <c r="L244" s="50" t="str">
        <f>VLOOKUP(K244,'Base -Receita-Despesa'!$B:$P,1,FALSE)</f>
        <v>Materiais</v>
      </c>
    </row>
    <row r="245" spans="1:12" ht="15" customHeight="1" x14ac:dyDescent="0.3">
      <c r="A245" s="82" t="str">
        <f t="shared" si="6"/>
        <v>2016</v>
      </c>
      <c r="B245" s="72" t="s">
        <v>131</v>
      </c>
      <c r="C245" s="73" t="s">
        <v>132</v>
      </c>
      <c r="D245" s="74" t="str">
        <f t="shared" si="7"/>
        <v>fev/2016</v>
      </c>
      <c r="E245" s="53">
        <v>42415</v>
      </c>
      <c r="F245" s="75" t="s">
        <v>199</v>
      </c>
      <c r="G245" s="72"/>
      <c r="H245" s="49" t="s">
        <v>383</v>
      </c>
      <c r="I245" s="49" t="s">
        <v>192</v>
      </c>
      <c r="J245" s="76">
        <v>-277.58</v>
      </c>
      <c r="K245" s="83" t="str">
        <f>IFERROR(IFERROR(VLOOKUP(I245,'DE-PARA'!B:D,3,0),VLOOKUP(I245,'DE-PARA'!C:D,2,0)),"NÃO ENCONTRADO")</f>
        <v>Materiais</v>
      </c>
      <c r="L245" s="50" t="str">
        <f>VLOOKUP(K245,'Base -Receita-Despesa'!$B:$P,1,FALSE)</f>
        <v>Materiais</v>
      </c>
    </row>
    <row r="246" spans="1:12" ht="15" customHeight="1" x14ac:dyDescent="0.3">
      <c r="A246" s="82" t="str">
        <f t="shared" si="6"/>
        <v>2016</v>
      </c>
      <c r="B246" s="72" t="s">
        <v>131</v>
      </c>
      <c r="C246" s="73" t="s">
        <v>132</v>
      </c>
      <c r="D246" s="74" t="str">
        <f t="shared" si="7"/>
        <v>fev/2016</v>
      </c>
      <c r="E246" s="53">
        <v>42415</v>
      </c>
      <c r="F246" s="75" t="s">
        <v>199</v>
      </c>
      <c r="G246" s="72"/>
      <c r="H246" s="49" t="s">
        <v>383</v>
      </c>
      <c r="I246" s="49" t="s">
        <v>192</v>
      </c>
      <c r="J246" s="76">
        <v>-221.49</v>
      </c>
      <c r="K246" s="83" t="str">
        <f>IFERROR(IFERROR(VLOOKUP(I246,'DE-PARA'!B:D,3,0),VLOOKUP(I246,'DE-PARA'!C:D,2,0)),"NÃO ENCONTRADO")</f>
        <v>Materiais</v>
      </c>
      <c r="L246" s="50" t="str">
        <f>VLOOKUP(K246,'Base -Receita-Despesa'!$B:$P,1,FALSE)</f>
        <v>Materiais</v>
      </c>
    </row>
    <row r="247" spans="1:12" ht="15" customHeight="1" x14ac:dyDescent="0.3">
      <c r="A247" s="82" t="str">
        <f t="shared" si="6"/>
        <v>2016</v>
      </c>
      <c r="B247" s="72" t="s">
        <v>131</v>
      </c>
      <c r="C247" s="73" t="s">
        <v>132</v>
      </c>
      <c r="D247" s="74" t="str">
        <f t="shared" si="7"/>
        <v>fev/2016</v>
      </c>
      <c r="E247" s="53">
        <v>42415</v>
      </c>
      <c r="F247" s="75" t="s">
        <v>404</v>
      </c>
      <c r="G247" s="72"/>
      <c r="H247" s="49" t="s">
        <v>214</v>
      </c>
      <c r="I247" s="49" t="s">
        <v>114</v>
      </c>
      <c r="J247" s="76">
        <v>-67233.119999999995</v>
      </c>
      <c r="K247" s="83" t="str">
        <f>IFERROR(IFERROR(VLOOKUP(I247,'DE-PARA'!B:D,3,0),VLOOKUP(I247,'DE-PARA'!C:D,2,0)),"NÃO ENCONTRADO")</f>
        <v>Serviços</v>
      </c>
      <c r="L247" s="50" t="str">
        <f>VLOOKUP(K247,'Base -Receita-Despesa'!$B:$P,1,FALSE)</f>
        <v>Serviços</v>
      </c>
    </row>
    <row r="248" spans="1:12" ht="15" customHeight="1" x14ac:dyDescent="0.3">
      <c r="A248" s="82" t="str">
        <f t="shared" si="6"/>
        <v>2016</v>
      </c>
      <c r="B248" s="72" t="s">
        <v>131</v>
      </c>
      <c r="C248" s="73" t="s">
        <v>132</v>
      </c>
      <c r="D248" s="74" t="str">
        <f t="shared" si="7"/>
        <v>fev/2016</v>
      </c>
      <c r="E248" s="53">
        <v>42415</v>
      </c>
      <c r="F248" s="75" t="s">
        <v>164</v>
      </c>
      <c r="G248" s="72"/>
      <c r="H248" s="49" t="s">
        <v>170</v>
      </c>
      <c r="I248" s="49" t="s">
        <v>171</v>
      </c>
      <c r="J248" s="76">
        <v>-627.11</v>
      </c>
      <c r="K248" s="83" t="str">
        <f>IFERROR(IFERROR(VLOOKUP(I248,'DE-PARA'!B:D,3,0),VLOOKUP(I248,'DE-PARA'!C:D,2,0)),"NÃO ENCONTRADO")</f>
        <v>Serviços</v>
      </c>
      <c r="L248" s="50" t="str">
        <f>VLOOKUP(K248,'Base -Receita-Despesa'!$B:$P,1,FALSE)</f>
        <v>Serviços</v>
      </c>
    </row>
    <row r="249" spans="1:12" ht="15" customHeight="1" x14ac:dyDescent="0.3">
      <c r="A249" s="82" t="str">
        <f t="shared" si="6"/>
        <v>2016</v>
      </c>
      <c r="B249" s="72" t="s">
        <v>131</v>
      </c>
      <c r="C249" s="73" t="s">
        <v>132</v>
      </c>
      <c r="D249" s="74" t="str">
        <f t="shared" si="7"/>
        <v>fev/2016</v>
      </c>
      <c r="E249" s="53">
        <v>42415</v>
      </c>
      <c r="F249" s="75" t="s">
        <v>164</v>
      </c>
      <c r="G249" s="72"/>
      <c r="H249" s="49" t="s">
        <v>405</v>
      </c>
      <c r="I249" s="49" t="s">
        <v>168</v>
      </c>
      <c r="J249" s="76">
        <v>-3.84</v>
      </c>
      <c r="K249" s="83" t="str">
        <f>IFERROR(IFERROR(VLOOKUP(I249,'DE-PARA'!B:D,3,0),VLOOKUP(I249,'DE-PARA'!C:D,2,0)),"NÃO ENCONTRADO")</f>
        <v>Pessoal</v>
      </c>
      <c r="L249" s="50" t="str">
        <f>VLOOKUP(K249,'Base -Receita-Despesa'!$B:$P,1,FALSE)</f>
        <v>Pessoal</v>
      </c>
    </row>
    <row r="250" spans="1:12" ht="15" customHeight="1" x14ac:dyDescent="0.3">
      <c r="A250" s="82" t="str">
        <f t="shared" si="6"/>
        <v>2016</v>
      </c>
      <c r="B250" s="72" t="s">
        <v>131</v>
      </c>
      <c r="C250" s="73" t="s">
        <v>132</v>
      </c>
      <c r="D250" s="74" t="str">
        <f t="shared" si="7"/>
        <v>fev/2016</v>
      </c>
      <c r="E250" s="53">
        <v>42415</v>
      </c>
      <c r="F250" s="75" t="s">
        <v>133</v>
      </c>
      <c r="G250" s="72"/>
      <c r="H250" s="49" t="s">
        <v>406</v>
      </c>
      <c r="I250" s="49" t="s">
        <v>135</v>
      </c>
      <c r="J250" s="76">
        <v>3258.16</v>
      </c>
      <c r="K250" s="83" t="str">
        <f>IFERROR(IFERROR(VLOOKUP(I250,'DE-PARA'!B:D,3,0),VLOOKUP(I250,'DE-PARA'!C:D,2,0)),"NÃO ENCONTRADO")</f>
        <v>Pessoal</v>
      </c>
      <c r="L250" s="50" t="str">
        <f>VLOOKUP(K250,'Base -Receita-Despesa'!$B:$P,1,FALSE)</f>
        <v>Pessoal</v>
      </c>
    </row>
    <row r="251" spans="1:12" ht="15" customHeight="1" x14ac:dyDescent="0.3">
      <c r="A251" s="82" t="str">
        <f t="shared" si="6"/>
        <v>2016</v>
      </c>
      <c r="B251" s="72" t="s">
        <v>131</v>
      </c>
      <c r="C251" s="73" t="s">
        <v>132</v>
      </c>
      <c r="D251" s="74" t="str">
        <f t="shared" si="7"/>
        <v>fev/2016</v>
      </c>
      <c r="E251" s="53">
        <v>42415</v>
      </c>
      <c r="F251" s="75" t="s">
        <v>164</v>
      </c>
      <c r="G251" s="72"/>
      <c r="H251" s="49" t="s">
        <v>172</v>
      </c>
      <c r="I251" s="49" t="s">
        <v>173</v>
      </c>
      <c r="J251" s="76">
        <v>-428.22</v>
      </c>
      <c r="K251" s="83" t="str">
        <f>IFERROR(IFERROR(VLOOKUP(I251,'DE-PARA'!B:D,3,0),VLOOKUP(I251,'DE-PARA'!C:D,2,0)),"NÃO ENCONTRADO")</f>
        <v>Serviços</v>
      </c>
      <c r="L251" s="50" t="str">
        <f>VLOOKUP(K251,'Base -Receita-Despesa'!$B:$P,1,FALSE)</f>
        <v>Serviços</v>
      </c>
    </row>
    <row r="252" spans="1:12" ht="15" customHeight="1" x14ac:dyDescent="0.3">
      <c r="A252" s="82" t="str">
        <f t="shared" si="6"/>
        <v>2016</v>
      </c>
      <c r="B252" s="72" t="s">
        <v>131</v>
      </c>
      <c r="C252" s="73" t="s">
        <v>132</v>
      </c>
      <c r="D252" s="74" t="str">
        <f t="shared" si="7"/>
        <v>fev/2016</v>
      </c>
      <c r="E252" s="53">
        <v>42415</v>
      </c>
      <c r="F252" s="75" t="s">
        <v>164</v>
      </c>
      <c r="G252" s="72"/>
      <c r="H252" s="49" t="s">
        <v>172</v>
      </c>
      <c r="I252" s="49" t="s">
        <v>173</v>
      </c>
      <c r="J252" s="76">
        <v>-774.64</v>
      </c>
      <c r="K252" s="83" t="str">
        <f>IFERROR(IFERROR(VLOOKUP(I252,'DE-PARA'!B:D,3,0),VLOOKUP(I252,'DE-PARA'!C:D,2,0)),"NÃO ENCONTRADO")</f>
        <v>Serviços</v>
      </c>
      <c r="L252" s="50" t="str">
        <f>VLOOKUP(K252,'Base -Receita-Despesa'!$B:$P,1,FALSE)</f>
        <v>Serviços</v>
      </c>
    </row>
    <row r="253" spans="1:12" ht="15" customHeight="1" x14ac:dyDescent="0.3">
      <c r="A253" s="82" t="str">
        <f t="shared" si="6"/>
        <v>2016</v>
      </c>
      <c r="B253" s="72" t="s">
        <v>131</v>
      </c>
      <c r="C253" s="73" t="s">
        <v>132</v>
      </c>
      <c r="D253" s="74" t="str">
        <f t="shared" si="7"/>
        <v>fev/2016</v>
      </c>
      <c r="E253" s="53">
        <v>42415</v>
      </c>
      <c r="F253" s="75" t="s">
        <v>164</v>
      </c>
      <c r="G253" s="72"/>
      <c r="H253" s="49" t="s">
        <v>407</v>
      </c>
      <c r="I253" s="49" t="s">
        <v>168</v>
      </c>
      <c r="J253" s="76">
        <v>-8.0399999999999991</v>
      </c>
      <c r="K253" s="83" t="str">
        <f>IFERROR(IFERROR(VLOOKUP(I253,'DE-PARA'!B:D,3,0),VLOOKUP(I253,'DE-PARA'!C:D,2,0)),"NÃO ENCONTRADO")</f>
        <v>Pessoal</v>
      </c>
      <c r="L253" s="50" t="str">
        <f>VLOOKUP(K253,'Base -Receita-Despesa'!$B:$P,1,FALSE)</f>
        <v>Pessoal</v>
      </c>
    </row>
    <row r="254" spans="1:12" ht="15" customHeight="1" x14ac:dyDescent="0.3">
      <c r="A254" s="82" t="str">
        <f t="shared" si="6"/>
        <v>2016</v>
      </c>
      <c r="B254" s="72" t="s">
        <v>131</v>
      </c>
      <c r="C254" s="73" t="s">
        <v>132</v>
      </c>
      <c r="D254" s="74" t="str">
        <f t="shared" si="7"/>
        <v>fev/2016</v>
      </c>
      <c r="E254" s="53">
        <v>42415</v>
      </c>
      <c r="F254" s="75" t="s">
        <v>133</v>
      </c>
      <c r="G254" s="72"/>
      <c r="H254" s="49" t="s">
        <v>407</v>
      </c>
      <c r="I254" s="49" t="s">
        <v>135</v>
      </c>
      <c r="J254" s="76">
        <v>-152.16</v>
      </c>
      <c r="K254" s="83" t="str">
        <f>IFERROR(IFERROR(VLOOKUP(I254,'DE-PARA'!B:D,3,0),VLOOKUP(I254,'DE-PARA'!C:D,2,0)),"NÃO ENCONTRADO")</f>
        <v>Pessoal</v>
      </c>
      <c r="L254" s="50" t="str">
        <f>VLOOKUP(K254,'Base -Receita-Despesa'!$B:$P,1,FALSE)</f>
        <v>Pessoal</v>
      </c>
    </row>
    <row r="255" spans="1:12" ht="15" customHeight="1" x14ac:dyDescent="0.3">
      <c r="A255" s="82" t="str">
        <f t="shared" si="6"/>
        <v>2016</v>
      </c>
      <c r="B255" s="72" t="s">
        <v>131</v>
      </c>
      <c r="C255" s="73" t="s">
        <v>132</v>
      </c>
      <c r="D255" s="74" t="str">
        <f t="shared" si="7"/>
        <v>fev/2016</v>
      </c>
      <c r="E255" s="53">
        <v>42415</v>
      </c>
      <c r="F255" s="75" t="s">
        <v>164</v>
      </c>
      <c r="G255" s="72"/>
      <c r="H255" s="49" t="s">
        <v>394</v>
      </c>
      <c r="I255" s="49" t="s">
        <v>168</v>
      </c>
      <c r="J255" s="76">
        <v>-8.0399999999999991</v>
      </c>
      <c r="K255" s="83" t="str">
        <f>IFERROR(IFERROR(VLOOKUP(I255,'DE-PARA'!B:D,3,0),VLOOKUP(I255,'DE-PARA'!C:D,2,0)),"NÃO ENCONTRADO")</f>
        <v>Pessoal</v>
      </c>
      <c r="L255" s="50" t="str">
        <f>VLOOKUP(K255,'Base -Receita-Despesa'!$B:$P,1,FALSE)</f>
        <v>Pessoal</v>
      </c>
    </row>
    <row r="256" spans="1:12" ht="15" customHeight="1" x14ac:dyDescent="0.3">
      <c r="A256" s="82" t="str">
        <f t="shared" si="6"/>
        <v>2016</v>
      </c>
      <c r="B256" s="72" t="s">
        <v>131</v>
      </c>
      <c r="C256" s="73" t="s">
        <v>132</v>
      </c>
      <c r="D256" s="74" t="str">
        <f t="shared" si="7"/>
        <v>fev/2016</v>
      </c>
      <c r="E256" s="53">
        <v>42415</v>
      </c>
      <c r="F256" s="75" t="s">
        <v>199</v>
      </c>
      <c r="G256" s="72"/>
      <c r="H256" s="49" t="s">
        <v>408</v>
      </c>
      <c r="I256" s="49" t="s">
        <v>192</v>
      </c>
      <c r="J256" s="76">
        <v>-604.76</v>
      </c>
      <c r="K256" s="83" t="str">
        <f>IFERROR(IFERROR(VLOOKUP(I256,'DE-PARA'!B:D,3,0),VLOOKUP(I256,'DE-PARA'!C:D,2,0)),"NÃO ENCONTRADO")</f>
        <v>Materiais</v>
      </c>
      <c r="L256" s="50" t="str">
        <f>VLOOKUP(K256,'Base -Receita-Despesa'!$B:$P,1,FALSE)</f>
        <v>Materiais</v>
      </c>
    </row>
    <row r="257" spans="1:12" ht="15" customHeight="1" x14ac:dyDescent="0.3">
      <c r="A257" s="82" t="str">
        <f t="shared" si="6"/>
        <v>2016</v>
      </c>
      <c r="B257" s="72" t="s">
        <v>131</v>
      </c>
      <c r="C257" s="73" t="s">
        <v>132</v>
      </c>
      <c r="D257" s="74" t="str">
        <f t="shared" si="7"/>
        <v>fev/2016</v>
      </c>
      <c r="E257" s="53">
        <v>42415</v>
      </c>
      <c r="F257" s="75">
        <v>511232</v>
      </c>
      <c r="G257" s="72"/>
      <c r="H257" s="49" t="s">
        <v>408</v>
      </c>
      <c r="I257" s="49" t="s">
        <v>192</v>
      </c>
      <c r="J257" s="76">
        <v>-604.76</v>
      </c>
      <c r="K257" s="83" t="str">
        <f>IFERROR(IFERROR(VLOOKUP(I257,'DE-PARA'!B:D,3,0),VLOOKUP(I257,'DE-PARA'!C:D,2,0)),"NÃO ENCONTRADO")</f>
        <v>Materiais</v>
      </c>
      <c r="L257" s="50" t="str">
        <f>VLOOKUP(K257,'Base -Receita-Despesa'!$B:$P,1,FALSE)</f>
        <v>Materiais</v>
      </c>
    </row>
    <row r="258" spans="1:12" ht="15" customHeight="1" x14ac:dyDescent="0.3">
      <c r="A258" s="82" t="str">
        <f t="shared" si="6"/>
        <v>2016</v>
      </c>
      <c r="B258" s="72" t="s">
        <v>131</v>
      </c>
      <c r="C258" s="73" t="s">
        <v>132</v>
      </c>
      <c r="D258" s="74" t="str">
        <f t="shared" si="7"/>
        <v>fev/2016</v>
      </c>
      <c r="E258" s="53">
        <v>42416</v>
      </c>
      <c r="F258" s="75" t="s">
        <v>409</v>
      </c>
      <c r="G258" s="72"/>
      <c r="H258" s="49" t="s">
        <v>410</v>
      </c>
      <c r="I258" s="49" t="s">
        <v>112</v>
      </c>
      <c r="J258" s="76">
        <v>-60045.7</v>
      </c>
      <c r="K258" s="83" t="str">
        <f>IFERROR(IFERROR(VLOOKUP(I258,'DE-PARA'!B:D,3,0),VLOOKUP(I258,'DE-PARA'!C:D,2,0)),"NÃO ENCONTRADO")</f>
        <v>Serviços</v>
      </c>
      <c r="L258" s="50" t="str">
        <f>VLOOKUP(K258,'Base -Receita-Despesa'!$B:$P,1,FALSE)</f>
        <v>Serviços</v>
      </c>
    </row>
    <row r="259" spans="1:12" ht="15" customHeight="1" x14ac:dyDescent="0.3">
      <c r="A259" s="82" t="str">
        <f t="shared" si="6"/>
        <v>2016</v>
      </c>
      <c r="B259" s="72" t="s">
        <v>131</v>
      </c>
      <c r="C259" s="73" t="s">
        <v>132</v>
      </c>
      <c r="D259" s="74" t="str">
        <f t="shared" si="7"/>
        <v>fev/2016</v>
      </c>
      <c r="E259" s="53">
        <v>42416</v>
      </c>
      <c r="F259" s="75" t="s">
        <v>411</v>
      </c>
      <c r="G259" s="72"/>
      <c r="H259" s="49" t="s">
        <v>193</v>
      </c>
      <c r="I259" s="49" t="s">
        <v>194</v>
      </c>
      <c r="J259" s="76">
        <v>-5392.09</v>
      </c>
      <c r="K259" s="83" t="str">
        <f>IFERROR(IFERROR(VLOOKUP(I259,'DE-PARA'!B:D,3,0),VLOOKUP(I259,'DE-PARA'!C:D,2,0)),"NÃO ENCONTRADO")</f>
        <v>Despesas com Viagens</v>
      </c>
      <c r="L259" s="50" t="str">
        <f>VLOOKUP(K259,'Base -Receita-Despesa'!$B:$P,1,FALSE)</f>
        <v>Despesas com Viagens</v>
      </c>
    </row>
    <row r="260" spans="1:12" ht="15" customHeight="1" x14ac:dyDescent="0.3">
      <c r="A260" s="82" t="str">
        <f t="shared" ref="A260:A323" si="8">IF(K260="NÃO ENCONTRADO",0,RIGHT(D260,4))</f>
        <v>2016</v>
      </c>
      <c r="B260" s="72" t="s">
        <v>131</v>
      </c>
      <c r="C260" s="73" t="s">
        <v>132</v>
      </c>
      <c r="D260" s="74" t="str">
        <f t="shared" ref="D260:D323" si="9">TEXT(E260,"mmm/aaaa")</f>
        <v>fev/2016</v>
      </c>
      <c r="E260" s="53">
        <v>42416</v>
      </c>
      <c r="F260" s="75" t="s">
        <v>412</v>
      </c>
      <c r="G260" s="72"/>
      <c r="H260" s="49" t="s">
        <v>193</v>
      </c>
      <c r="I260" s="49" t="s">
        <v>194</v>
      </c>
      <c r="J260" s="76">
        <v>-508.3</v>
      </c>
      <c r="K260" s="83" t="str">
        <f>IFERROR(IFERROR(VLOOKUP(I260,'DE-PARA'!B:D,3,0),VLOOKUP(I260,'DE-PARA'!C:D,2,0)),"NÃO ENCONTRADO")</f>
        <v>Despesas com Viagens</v>
      </c>
      <c r="L260" s="50" t="str">
        <f>VLOOKUP(K260,'Base -Receita-Despesa'!$B:$P,1,FALSE)</f>
        <v>Despesas com Viagens</v>
      </c>
    </row>
    <row r="261" spans="1:12" ht="15" customHeight="1" x14ac:dyDescent="0.3">
      <c r="A261" s="82" t="str">
        <f t="shared" si="8"/>
        <v>2016</v>
      </c>
      <c r="B261" s="72" t="s">
        <v>131</v>
      </c>
      <c r="C261" s="73" t="s">
        <v>132</v>
      </c>
      <c r="D261" s="74" t="str">
        <f t="shared" si="9"/>
        <v>fev/2016</v>
      </c>
      <c r="E261" s="53">
        <v>42416</v>
      </c>
      <c r="F261" s="75" t="s">
        <v>154</v>
      </c>
      <c r="G261" s="72"/>
      <c r="H261" s="49" t="s">
        <v>154</v>
      </c>
      <c r="I261" s="49" t="s">
        <v>1497</v>
      </c>
      <c r="J261" s="76">
        <v>443651.73</v>
      </c>
      <c r="K261" s="83" t="str">
        <f>IFERROR(IFERROR(VLOOKUP(I261,'DE-PARA'!B:D,3,0),VLOOKUP(I261,'DE-PARA'!C:D,2,0)),"NÃO ENCONTRADO")</f>
        <v>Repasses Contrato de Gestão</v>
      </c>
      <c r="L261" s="50" t="str">
        <f>VLOOKUP(K261,'Base -Receita-Despesa'!$B:$P,1,FALSE)</f>
        <v>Repasses Contrato de Gestão</v>
      </c>
    </row>
    <row r="262" spans="1:12" ht="15" customHeight="1" x14ac:dyDescent="0.3">
      <c r="A262" s="82" t="str">
        <f t="shared" si="8"/>
        <v>2016</v>
      </c>
      <c r="B262" s="72" t="s">
        <v>131</v>
      </c>
      <c r="C262" s="73" t="s">
        <v>132</v>
      </c>
      <c r="D262" s="74" t="str">
        <f t="shared" si="9"/>
        <v>fev/2016</v>
      </c>
      <c r="E262" s="53">
        <v>42416</v>
      </c>
      <c r="F262" s="75" t="s">
        <v>413</v>
      </c>
      <c r="G262" s="72"/>
      <c r="H262" s="49" t="s">
        <v>414</v>
      </c>
      <c r="I262" s="49" t="s">
        <v>159</v>
      </c>
      <c r="J262" s="76">
        <v>-1495</v>
      </c>
      <c r="K262" s="83" t="str">
        <f>IFERROR(IFERROR(VLOOKUP(I262,'DE-PARA'!B:D,3,0),VLOOKUP(I262,'DE-PARA'!C:D,2,0)),"NÃO ENCONTRADO")</f>
        <v>Materiais</v>
      </c>
      <c r="L262" s="50" t="str">
        <f>VLOOKUP(K262,'Base -Receita-Despesa'!$B:$P,1,FALSE)</f>
        <v>Materiais</v>
      </c>
    </row>
    <row r="263" spans="1:12" ht="15" customHeight="1" x14ac:dyDescent="0.3">
      <c r="A263" s="82" t="str">
        <f t="shared" si="8"/>
        <v>2016</v>
      </c>
      <c r="B263" s="72" t="s">
        <v>131</v>
      </c>
      <c r="C263" s="73" t="s">
        <v>132</v>
      </c>
      <c r="D263" s="74" t="str">
        <f t="shared" si="9"/>
        <v>fev/2016</v>
      </c>
      <c r="E263" s="53">
        <v>42416</v>
      </c>
      <c r="F263" s="75" t="s">
        <v>415</v>
      </c>
      <c r="G263" s="72"/>
      <c r="H263" s="49" t="s">
        <v>271</v>
      </c>
      <c r="I263" s="49" t="s">
        <v>138</v>
      </c>
      <c r="J263" s="76">
        <v>-2450</v>
      </c>
      <c r="K263" s="83" t="str">
        <f>IFERROR(IFERROR(VLOOKUP(I263,'DE-PARA'!B:D,3,0),VLOOKUP(I263,'DE-PARA'!C:D,2,0)),"NÃO ENCONTRADO")</f>
        <v>Serviços</v>
      </c>
      <c r="L263" s="50" t="str">
        <f>VLOOKUP(K263,'Base -Receita-Despesa'!$B:$P,1,FALSE)</f>
        <v>Serviços</v>
      </c>
    </row>
    <row r="264" spans="1:12" ht="15" customHeight="1" x14ac:dyDescent="0.3">
      <c r="A264" s="82" t="str">
        <f t="shared" si="8"/>
        <v>2016</v>
      </c>
      <c r="B264" s="72" t="s">
        <v>131</v>
      </c>
      <c r="C264" s="73" t="s">
        <v>132</v>
      </c>
      <c r="D264" s="74" t="str">
        <f t="shared" si="9"/>
        <v>fev/2016</v>
      </c>
      <c r="E264" s="53">
        <v>42416</v>
      </c>
      <c r="F264" s="75" t="s">
        <v>416</v>
      </c>
      <c r="G264" s="72"/>
      <c r="H264" s="49" t="s">
        <v>328</v>
      </c>
      <c r="I264" s="49" t="s">
        <v>159</v>
      </c>
      <c r="J264" s="76">
        <v>-2901.97</v>
      </c>
      <c r="K264" s="83" t="str">
        <f>IFERROR(IFERROR(VLOOKUP(I264,'DE-PARA'!B:D,3,0),VLOOKUP(I264,'DE-PARA'!C:D,2,0)),"NÃO ENCONTRADO")</f>
        <v>Materiais</v>
      </c>
      <c r="L264" s="50" t="str">
        <f>VLOOKUP(K264,'Base -Receita-Despesa'!$B:$P,1,FALSE)</f>
        <v>Materiais</v>
      </c>
    </row>
    <row r="265" spans="1:12" ht="15" customHeight="1" x14ac:dyDescent="0.3">
      <c r="A265" s="82" t="str">
        <f t="shared" si="8"/>
        <v>2016</v>
      </c>
      <c r="B265" s="72" t="s">
        <v>131</v>
      </c>
      <c r="C265" s="73" t="s">
        <v>132</v>
      </c>
      <c r="D265" s="74" t="str">
        <f t="shared" si="9"/>
        <v>fev/2016</v>
      </c>
      <c r="E265" s="53">
        <v>42416</v>
      </c>
      <c r="F265" s="75" t="s">
        <v>417</v>
      </c>
      <c r="G265" s="72"/>
      <c r="H265" s="49" t="s">
        <v>418</v>
      </c>
      <c r="I265" s="49" t="s">
        <v>196</v>
      </c>
      <c r="J265" s="76">
        <v>495.66</v>
      </c>
      <c r="K265" s="83" t="str">
        <f>IFERROR(IFERROR(VLOOKUP(I265,'DE-PARA'!B:D,3,0),VLOOKUP(I265,'DE-PARA'!C:D,2,0)),"NÃO ENCONTRADO")</f>
        <v>Materiais</v>
      </c>
      <c r="L265" s="50" t="str">
        <f>VLOOKUP(K265,'Base -Receita-Despesa'!$B:$P,1,FALSE)</f>
        <v>Materiais</v>
      </c>
    </row>
    <row r="266" spans="1:12" ht="15" customHeight="1" x14ac:dyDescent="0.3">
      <c r="A266" s="82" t="str">
        <f t="shared" si="8"/>
        <v>2016</v>
      </c>
      <c r="B266" s="72" t="s">
        <v>131</v>
      </c>
      <c r="C266" s="73" t="s">
        <v>132</v>
      </c>
      <c r="D266" s="74" t="str">
        <f t="shared" si="9"/>
        <v>fev/2016</v>
      </c>
      <c r="E266" s="53">
        <v>42416</v>
      </c>
      <c r="F266" s="75" t="s">
        <v>417</v>
      </c>
      <c r="G266" s="72"/>
      <c r="H266" s="49" t="s">
        <v>419</v>
      </c>
      <c r="I266" s="49" t="s">
        <v>168</v>
      </c>
      <c r="J266" s="76">
        <v>152.16</v>
      </c>
      <c r="K266" s="83" t="str">
        <f>IFERROR(IFERROR(VLOOKUP(I266,'DE-PARA'!B:D,3,0),VLOOKUP(I266,'DE-PARA'!C:D,2,0)),"NÃO ENCONTRADO")</f>
        <v>Pessoal</v>
      </c>
      <c r="L266" s="50" t="str">
        <f>VLOOKUP(K266,'Base -Receita-Despesa'!$B:$P,1,FALSE)</f>
        <v>Pessoal</v>
      </c>
    </row>
    <row r="267" spans="1:12" ht="15" customHeight="1" x14ac:dyDescent="0.3">
      <c r="A267" s="82" t="str">
        <f t="shared" si="8"/>
        <v>2016</v>
      </c>
      <c r="B267" s="72" t="s">
        <v>131</v>
      </c>
      <c r="C267" s="73" t="s">
        <v>132</v>
      </c>
      <c r="D267" s="74" t="str">
        <f t="shared" si="9"/>
        <v>fev/2016</v>
      </c>
      <c r="E267" s="53">
        <v>42416</v>
      </c>
      <c r="F267" s="75" t="s">
        <v>420</v>
      </c>
      <c r="G267" s="72"/>
      <c r="H267" s="49" t="s">
        <v>140</v>
      </c>
      <c r="I267" s="49" t="s">
        <v>138</v>
      </c>
      <c r="J267" s="76">
        <v>-561.6</v>
      </c>
      <c r="K267" s="83" t="str">
        <f>IFERROR(IFERROR(VLOOKUP(I267,'DE-PARA'!B:D,3,0),VLOOKUP(I267,'DE-PARA'!C:D,2,0)),"NÃO ENCONTRADO")</f>
        <v>Serviços</v>
      </c>
      <c r="L267" s="50" t="str">
        <f>VLOOKUP(K267,'Base -Receita-Despesa'!$B:$P,1,FALSE)</f>
        <v>Serviços</v>
      </c>
    </row>
    <row r="268" spans="1:12" ht="15" customHeight="1" x14ac:dyDescent="0.3">
      <c r="A268" s="82" t="str">
        <f t="shared" si="8"/>
        <v>2016</v>
      </c>
      <c r="B268" s="72" t="s">
        <v>131</v>
      </c>
      <c r="C268" s="73" t="s">
        <v>132</v>
      </c>
      <c r="D268" s="74" t="str">
        <f t="shared" si="9"/>
        <v>fev/2016</v>
      </c>
      <c r="E268" s="53">
        <v>42416</v>
      </c>
      <c r="F268" s="75" t="s">
        <v>421</v>
      </c>
      <c r="G268" s="72"/>
      <c r="H268" s="49" t="s">
        <v>161</v>
      </c>
      <c r="I268" s="49" t="s">
        <v>159</v>
      </c>
      <c r="J268" s="76">
        <v>-309.41000000000003</v>
      </c>
      <c r="K268" s="83" t="str">
        <f>IFERROR(IFERROR(VLOOKUP(I268,'DE-PARA'!B:D,3,0),VLOOKUP(I268,'DE-PARA'!C:D,2,0)),"NÃO ENCONTRADO")</f>
        <v>Materiais</v>
      </c>
      <c r="L268" s="50" t="str">
        <f>VLOOKUP(K268,'Base -Receita-Despesa'!$B:$P,1,FALSE)</f>
        <v>Materiais</v>
      </c>
    </row>
    <row r="269" spans="1:12" ht="15" customHeight="1" x14ac:dyDescent="0.3">
      <c r="A269" s="82" t="str">
        <f t="shared" si="8"/>
        <v>2016</v>
      </c>
      <c r="B269" s="72" t="s">
        <v>131</v>
      </c>
      <c r="C269" s="73" t="s">
        <v>132</v>
      </c>
      <c r="D269" s="74" t="str">
        <f t="shared" si="9"/>
        <v>fev/2016</v>
      </c>
      <c r="E269" s="53">
        <v>42416</v>
      </c>
      <c r="F269" s="75" t="s">
        <v>136</v>
      </c>
      <c r="G269" s="72"/>
      <c r="H269" s="49" t="s">
        <v>149</v>
      </c>
      <c r="I269" s="49" t="s">
        <v>129</v>
      </c>
      <c r="J269" s="76">
        <v>-7.85</v>
      </c>
      <c r="K269" s="83" t="str">
        <f>IFERROR(IFERROR(VLOOKUP(I269,'DE-PARA'!B:D,3,0),VLOOKUP(I269,'DE-PARA'!C:D,2,0)),"NÃO ENCONTRADO")</f>
        <v>Outras Saídas</v>
      </c>
      <c r="L269" s="50" t="str">
        <f>VLOOKUP(K269,'Base -Receita-Despesa'!$B:$P,1,FALSE)</f>
        <v>Outras Saídas</v>
      </c>
    </row>
    <row r="270" spans="1:12" ht="15" customHeight="1" x14ac:dyDescent="0.3">
      <c r="A270" s="82" t="str">
        <f t="shared" si="8"/>
        <v>2016</v>
      </c>
      <c r="B270" s="72" t="s">
        <v>131</v>
      </c>
      <c r="C270" s="73" t="s">
        <v>132</v>
      </c>
      <c r="D270" s="74" t="str">
        <f t="shared" si="9"/>
        <v>fev/2016</v>
      </c>
      <c r="E270" s="53">
        <v>42416</v>
      </c>
      <c r="F270" s="75" t="s">
        <v>422</v>
      </c>
      <c r="G270" s="72"/>
      <c r="H270" s="49" t="s">
        <v>423</v>
      </c>
      <c r="I270" s="49" t="s">
        <v>171</v>
      </c>
      <c r="J270" s="76">
        <v>-874.02</v>
      </c>
      <c r="K270" s="83" t="str">
        <f>IFERROR(IFERROR(VLOOKUP(I270,'DE-PARA'!B:D,3,0),VLOOKUP(I270,'DE-PARA'!C:D,2,0)),"NÃO ENCONTRADO")</f>
        <v>Serviços</v>
      </c>
      <c r="L270" s="50" t="str">
        <f>VLOOKUP(K270,'Base -Receita-Despesa'!$B:$P,1,FALSE)</f>
        <v>Serviços</v>
      </c>
    </row>
    <row r="271" spans="1:12" ht="15" customHeight="1" x14ac:dyDescent="0.3">
      <c r="A271" s="82" t="str">
        <f t="shared" si="8"/>
        <v>2016</v>
      </c>
      <c r="B271" s="72" t="s">
        <v>131</v>
      </c>
      <c r="C271" s="73" t="s">
        <v>132</v>
      </c>
      <c r="D271" s="74" t="str">
        <f t="shared" si="9"/>
        <v>fev/2016</v>
      </c>
      <c r="E271" s="53">
        <v>42416</v>
      </c>
      <c r="F271" s="75" t="s">
        <v>424</v>
      </c>
      <c r="G271" s="72"/>
      <c r="H271" s="49" t="s">
        <v>220</v>
      </c>
      <c r="I271" s="49" t="s">
        <v>180</v>
      </c>
      <c r="J271" s="76">
        <v>-4500</v>
      </c>
      <c r="K271" s="83" t="str">
        <f>IFERROR(IFERROR(VLOOKUP(I271,'DE-PARA'!B:D,3,0),VLOOKUP(I271,'DE-PARA'!C:D,2,0)),"NÃO ENCONTRADO")</f>
        <v>Serviços</v>
      </c>
      <c r="L271" s="50" t="str">
        <f>VLOOKUP(K271,'Base -Receita-Despesa'!$B:$P,1,FALSE)</f>
        <v>Serviços</v>
      </c>
    </row>
    <row r="272" spans="1:12" ht="15" customHeight="1" x14ac:dyDescent="0.3">
      <c r="A272" s="82" t="str">
        <f t="shared" si="8"/>
        <v>2016</v>
      </c>
      <c r="B272" s="72" t="s">
        <v>131</v>
      </c>
      <c r="C272" s="73" t="s">
        <v>132</v>
      </c>
      <c r="D272" s="74" t="str">
        <f t="shared" si="9"/>
        <v>fev/2016</v>
      </c>
      <c r="E272" s="53">
        <v>42416</v>
      </c>
      <c r="F272" s="75" t="s">
        <v>425</v>
      </c>
      <c r="G272" s="72"/>
      <c r="H272" s="49" t="s">
        <v>201</v>
      </c>
      <c r="I272" s="49" t="s">
        <v>110</v>
      </c>
      <c r="J272" s="76">
        <v>-3826</v>
      </c>
      <c r="K272" s="83" t="str">
        <f>IFERROR(IFERROR(VLOOKUP(I272,'DE-PARA'!B:D,3,0),VLOOKUP(I272,'DE-PARA'!C:D,2,0)),"NÃO ENCONTRADO")</f>
        <v>Serviços</v>
      </c>
      <c r="L272" s="50" t="str">
        <f>VLOOKUP(K272,'Base -Receita-Despesa'!$B:$P,1,FALSE)</f>
        <v>Serviços</v>
      </c>
    </row>
    <row r="273" spans="1:12" ht="15" customHeight="1" x14ac:dyDescent="0.3">
      <c r="A273" s="82" t="str">
        <f t="shared" si="8"/>
        <v>2016</v>
      </c>
      <c r="B273" s="72" t="s">
        <v>131</v>
      </c>
      <c r="C273" s="73" t="s">
        <v>132</v>
      </c>
      <c r="D273" s="74" t="str">
        <f t="shared" si="9"/>
        <v>fev/2016</v>
      </c>
      <c r="E273" s="53">
        <v>42416</v>
      </c>
      <c r="F273" s="75" t="s">
        <v>426</v>
      </c>
      <c r="G273" s="72"/>
      <c r="H273" s="49" t="s">
        <v>427</v>
      </c>
      <c r="I273" s="49" t="s">
        <v>428</v>
      </c>
      <c r="J273" s="76">
        <v>-788</v>
      </c>
      <c r="K273" s="83" t="str">
        <f>IFERROR(IFERROR(VLOOKUP(I273,'DE-PARA'!B:D,3,0),VLOOKUP(I273,'DE-PARA'!C:D,2,0)),"NÃO ENCONTRADO")</f>
        <v>Aluguéis</v>
      </c>
      <c r="L273" s="50" t="str">
        <f>VLOOKUP(K273,'Base -Receita-Despesa'!$B:$P,1,FALSE)</f>
        <v>Aluguéis</v>
      </c>
    </row>
    <row r="274" spans="1:12" ht="15" customHeight="1" x14ac:dyDescent="0.3">
      <c r="A274" s="82" t="str">
        <f t="shared" si="8"/>
        <v>2016</v>
      </c>
      <c r="B274" s="72" t="s">
        <v>131</v>
      </c>
      <c r="C274" s="73" t="s">
        <v>132</v>
      </c>
      <c r="D274" s="74" t="str">
        <f t="shared" si="9"/>
        <v>fev/2016</v>
      </c>
      <c r="E274" s="53">
        <v>42416</v>
      </c>
      <c r="F274" s="75" t="s">
        <v>429</v>
      </c>
      <c r="G274" s="72"/>
      <c r="H274" s="49" t="s">
        <v>202</v>
      </c>
      <c r="I274" s="49" t="s">
        <v>191</v>
      </c>
      <c r="J274" s="76">
        <v>-10000</v>
      </c>
      <c r="K274" s="83" t="str">
        <f>IFERROR(IFERROR(VLOOKUP(I274,'DE-PARA'!B:D,3,0),VLOOKUP(I274,'DE-PARA'!C:D,2,0)),"NÃO ENCONTRADO")</f>
        <v>Serviços</v>
      </c>
      <c r="L274" s="50" t="str">
        <f>VLOOKUP(K274,'Base -Receita-Despesa'!$B:$P,1,FALSE)</f>
        <v>Serviços</v>
      </c>
    </row>
    <row r="275" spans="1:12" ht="15" customHeight="1" x14ac:dyDescent="0.3">
      <c r="A275" s="82" t="str">
        <f t="shared" si="8"/>
        <v>2016</v>
      </c>
      <c r="B275" s="72" t="s">
        <v>131</v>
      </c>
      <c r="C275" s="73" t="s">
        <v>132</v>
      </c>
      <c r="D275" s="74" t="str">
        <f t="shared" si="9"/>
        <v>fev/2016</v>
      </c>
      <c r="E275" s="53">
        <v>42416</v>
      </c>
      <c r="F275" s="75" t="s">
        <v>430</v>
      </c>
      <c r="G275" s="72"/>
      <c r="H275" s="49" t="s">
        <v>431</v>
      </c>
      <c r="I275" s="49" t="s">
        <v>169</v>
      </c>
      <c r="J275" s="76">
        <v>-1170</v>
      </c>
      <c r="K275" s="83" t="str">
        <f>IFERROR(IFERROR(VLOOKUP(I275,'DE-PARA'!B:D,3,0),VLOOKUP(I275,'DE-PARA'!C:D,2,0)),"NÃO ENCONTRADO")</f>
        <v>Serviços</v>
      </c>
      <c r="L275" s="50" t="str">
        <f>VLOOKUP(K275,'Base -Receita-Despesa'!$B:$P,1,FALSE)</f>
        <v>Serviços</v>
      </c>
    </row>
    <row r="276" spans="1:12" ht="15" customHeight="1" x14ac:dyDescent="0.3">
      <c r="A276" s="82" t="str">
        <f t="shared" si="8"/>
        <v>2016</v>
      </c>
      <c r="B276" s="72" t="s">
        <v>131</v>
      </c>
      <c r="C276" s="73" t="s">
        <v>132</v>
      </c>
      <c r="D276" s="74" t="str">
        <f t="shared" si="9"/>
        <v>fev/2016</v>
      </c>
      <c r="E276" s="53">
        <v>42416</v>
      </c>
      <c r="F276" s="75" t="s">
        <v>432</v>
      </c>
      <c r="G276" s="72"/>
      <c r="H276" s="49" t="s">
        <v>178</v>
      </c>
      <c r="I276" s="49" t="s">
        <v>110</v>
      </c>
      <c r="J276" s="76">
        <v>-2928.12</v>
      </c>
      <c r="K276" s="83" t="str">
        <f>IFERROR(IFERROR(VLOOKUP(I276,'DE-PARA'!B:D,3,0),VLOOKUP(I276,'DE-PARA'!C:D,2,0)),"NÃO ENCONTRADO")</f>
        <v>Serviços</v>
      </c>
      <c r="L276" s="50" t="str">
        <f>VLOOKUP(K276,'Base -Receita-Despesa'!$B:$P,1,FALSE)</f>
        <v>Serviços</v>
      </c>
    </row>
    <row r="277" spans="1:12" ht="15" customHeight="1" x14ac:dyDescent="0.3">
      <c r="A277" s="82" t="str">
        <f t="shared" si="8"/>
        <v>2016</v>
      </c>
      <c r="B277" s="72" t="s">
        <v>131</v>
      </c>
      <c r="C277" s="73" t="s">
        <v>132</v>
      </c>
      <c r="D277" s="74" t="str">
        <f t="shared" si="9"/>
        <v>fev/2016</v>
      </c>
      <c r="E277" s="53">
        <v>42416</v>
      </c>
      <c r="F277" s="75" t="s">
        <v>433</v>
      </c>
      <c r="G277" s="72"/>
      <c r="H277" s="49" t="s">
        <v>434</v>
      </c>
      <c r="I277" s="49" t="s">
        <v>115</v>
      </c>
      <c r="J277" s="76">
        <v>-1245</v>
      </c>
      <c r="K277" s="83" t="str">
        <f>IFERROR(IFERROR(VLOOKUP(I277,'DE-PARA'!B:D,3,0),VLOOKUP(I277,'DE-PARA'!C:D,2,0)),"NÃO ENCONTRADO")</f>
        <v>Serviços</v>
      </c>
      <c r="L277" s="50" t="str">
        <f>VLOOKUP(K277,'Base -Receita-Despesa'!$B:$P,1,FALSE)</f>
        <v>Serviços</v>
      </c>
    </row>
    <row r="278" spans="1:12" ht="15" customHeight="1" x14ac:dyDescent="0.3">
      <c r="A278" s="82" t="str">
        <f t="shared" si="8"/>
        <v>2016</v>
      </c>
      <c r="B278" s="72" t="s">
        <v>131</v>
      </c>
      <c r="C278" s="73" t="s">
        <v>132</v>
      </c>
      <c r="D278" s="74" t="str">
        <f t="shared" si="9"/>
        <v>fev/2016</v>
      </c>
      <c r="E278" s="53">
        <v>42416</v>
      </c>
      <c r="F278" s="75" t="s">
        <v>435</v>
      </c>
      <c r="G278" s="72"/>
      <c r="H278" s="49" t="s">
        <v>205</v>
      </c>
      <c r="I278" s="49" t="s">
        <v>206</v>
      </c>
      <c r="J278" s="76">
        <v>-3000</v>
      </c>
      <c r="K278" s="83" t="str">
        <f>IFERROR(IFERROR(VLOOKUP(I278,'DE-PARA'!B:D,3,0),VLOOKUP(I278,'DE-PARA'!C:D,2,0)),"NÃO ENCONTRADO")</f>
        <v>Serviços</v>
      </c>
      <c r="L278" s="50" t="str">
        <f>VLOOKUP(K278,'Base -Receita-Despesa'!$B:$P,1,FALSE)</f>
        <v>Serviços</v>
      </c>
    </row>
    <row r="279" spans="1:12" ht="15" customHeight="1" x14ac:dyDescent="0.3">
      <c r="A279" s="82" t="str">
        <f t="shared" si="8"/>
        <v>2016</v>
      </c>
      <c r="B279" s="72" t="s">
        <v>131</v>
      </c>
      <c r="C279" s="73" t="s">
        <v>132</v>
      </c>
      <c r="D279" s="74" t="str">
        <f t="shared" si="9"/>
        <v>fev/2016</v>
      </c>
      <c r="E279" s="53">
        <v>42416</v>
      </c>
      <c r="F279" s="75" t="s">
        <v>436</v>
      </c>
      <c r="G279" s="72"/>
      <c r="H279" s="49" t="s">
        <v>207</v>
      </c>
      <c r="I279" s="49" t="s">
        <v>206</v>
      </c>
      <c r="J279" s="76">
        <v>-5500</v>
      </c>
      <c r="K279" s="83" t="str">
        <f>IFERROR(IFERROR(VLOOKUP(I279,'DE-PARA'!B:D,3,0),VLOOKUP(I279,'DE-PARA'!C:D,2,0)),"NÃO ENCONTRADO")</f>
        <v>Serviços</v>
      </c>
      <c r="L279" s="50" t="str">
        <f>VLOOKUP(K279,'Base -Receita-Despesa'!$B:$P,1,FALSE)</f>
        <v>Serviços</v>
      </c>
    </row>
    <row r="280" spans="1:12" ht="15" customHeight="1" x14ac:dyDescent="0.3">
      <c r="A280" s="82" t="str">
        <f t="shared" si="8"/>
        <v>2016</v>
      </c>
      <c r="B280" s="72" t="s">
        <v>131</v>
      </c>
      <c r="C280" s="73" t="s">
        <v>132</v>
      </c>
      <c r="D280" s="74" t="str">
        <f t="shared" si="9"/>
        <v>fev/2016</v>
      </c>
      <c r="E280" s="53">
        <v>42416</v>
      </c>
      <c r="F280" s="75" t="s">
        <v>437</v>
      </c>
      <c r="G280" s="72"/>
      <c r="H280" s="49" t="s">
        <v>438</v>
      </c>
      <c r="I280" s="49" t="s">
        <v>196</v>
      </c>
      <c r="J280" s="76">
        <v>-495.66</v>
      </c>
      <c r="K280" s="83" t="str">
        <f>IFERROR(IFERROR(VLOOKUP(I280,'DE-PARA'!B:D,3,0),VLOOKUP(I280,'DE-PARA'!C:D,2,0)),"NÃO ENCONTRADO")</f>
        <v>Materiais</v>
      </c>
      <c r="L280" s="50" t="str">
        <f>VLOOKUP(K280,'Base -Receita-Despesa'!$B:$P,1,FALSE)</f>
        <v>Materiais</v>
      </c>
    </row>
    <row r="281" spans="1:12" ht="15" customHeight="1" x14ac:dyDescent="0.3">
      <c r="A281" s="82" t="str">
        <f t="shared" si="8"/>
        <v>2016</v>
      </c>
      <c r="B281" s="72" t="s">
        <v>131</v>
      </c>
      <c r="C281" s="73" t="s">
        <v>132</v>
      </c>
      <c r="D281" s="74" t="str">
        <f t="shared" si="9"/>
        <v>fev/2016</v>
      </c>
      <c r="E281" s="53">
        <v>42416</v>
      </c>
      <c r="F281" s="75" t="s">
        <v>439</v>
      </c>
      <c r="G281" s="72"/>
      <c r="H281" s="49" t="s">
        <v>212</v>
      </c>
      <c r="I281" s="49" t="s">
        <v>138</v>
      </c>
      <c r="J281" s="76">
        <v>-4258.75</v>
      </c>
      <c r="K281" s="83" t="str">
        <f>IFERROR(IFERROR(VLOOKUP(I281,'DE-PARA'!B:D,3,0),VLOOKUP(I281,'DE-PARA'!C:D,2,0)),"NÃO ENCONTRADO")</f>
        <v>Serviços</v>
      </c>
      <c r="L281" s="50" t="str">
        <f>VLOOKUP(K281,'Base -Receita-Despesa'!$B:$P,1,FALSE)</f>
        <v>Serviços</v>
      </c>
    </row>
    <row r="282" spans="1:12" ht="15" customHeight="1" x14ac:dyDescent="0.3">
      <c r="A282" s="82" t="str">
        <f t="shared" si="8"/>
        <v>2016</v>
      </c>
      <c r="B282" s="72" t="s">
        <v>131</v>
      </c>
      <c r="C282" s="73" t="s">
        <v>132</v>
      </c>
      <c r="D282" s="74" t="str">
        <f t="shared" si="9"/>
        <v>fev/2016</v>
      </c>
      <c r="E282" s="53">
        <v>42416</v>
      </c>
      <c r="F282" s="75" t="s">
        <v>409</v>
      </c>
      <c r="G282" s="72"/>
      <c r="H282" s="49" t="s">
        <v>212</v>
      </c>
      <c r="I282" s="49" t="s">
        <v>138</v>
      </c>
      <c r="J282" s="76">
        <v>-4258.74</v>
      </c>
      <c r="K282" s="83" t="str">
        <f>IFERROR(IFERROR(VLOOKUP(I282,'DE-PARA'!B:D,3,0),VLOOKUP(I282,'DE-PARA'!C:D,2,0)),"NÃO ENCONTRADO")</f>
        <v>Serviços</v>
      </c>
      <c r="L282" s="50" t="str">
        <f>VLOOKUP(K282,'Base -Receita-Despesa'!$B:$P,1,FALSE)</f>
        <v>Serviços</v>
      </c>
    </row>
    <row r="283" spans="1:12" ht="15" customHeight="1" x14ac:dyDescent="0.3">
      <c r="A283" s="82" t="str">
        <f t="shared" si="8"/>
        <v>2016</v>
      </c>
      <c r="B283" s="72" t="s">
        <v>131</v>
      </c>
      <c r="C283" s="73" t="s">
        <v>132</v>
      </c>
      <c r="D283" s="74" t="str">
        <f t="shared" si="9"/>
        <v>fev/2016</v>
      </c>
      <c r="E283" s="53">
        <v>42416</v>
      </c>
      <c r="F283" s="75" t="s">
        <v>440</v>
      </c>
      <c r="G283" s="72"/>
      <c r="H283" s="49" t="s">
        <v>441</v>
      </c>
      <c r="I283" s="49" t="s">
        <v>159</v>
      </c>
      <c r="J283" s="76">
        <v>-451.16</v>
      </c>
      <c r="K283" s="83" t="str">
        <f>IFERROR(IFERROR(VLOOKUP(I283,'DE-PARA'!B:D,3,0),VLOOKUP(I283,'DE-PARA'!C:D,2,0)),"NÃO ENCONTRADO")</f>
        <v>Materiais</v>
      </c>
      <c r="L283" s="50" t="str">
        <f>VLOOKUP(K283,'Base -Receita-Despesa'!$B:$P,1,FALSE)</f>
        <v>Materiais</v>
      </c>
    </row>
    <row r="284" spans="1:12" ht="15" customHeight="1" x14ac:dyDescent="0.3">
      <c r="A284" s="82" t="str">
        <f t="shared" si="8"/>
        <v>2016</v>
      </c>
      <c r="B284" s="72" t="s">
        <v>131</v>
      </c>
      <c r="C284" s="73" t="s">
        <v>132</v>
      </c>
      <c r="D284" s="74" t="str">
        <f t="shared" si="9"/>
        <v>fev/2016</v>
      </c>
      <c r="E284" s="53">
        <v>42416</v>
      </c>
      <c r="F284" s="75" t="s">
        <v>442</v>
      </c>
      <c r="G284" s="72"/>
      <c r="H284" s="49" t="s">
        <v>441</v>
      </c>
      <c r="I284" s="49" t="s">
        <v>159</v>
      </c>
      <c r="J284" s="76">
        <v>-1381.53</v>
      </c>
      <c r="K284" s="83" t="str">
        <f>IFERROR(IFERROR(VLOOKUP(I284,'DE-PARA'!B:D,3,0),VLOOKUP(I284,'DE-PARA'!C:D,2,0)),"NÃO ENCONTRADO")</f>
        <v>Materiais</v>
      </c>
      <c r="L284" s="50" t="str">
        <f>VLOOKUP(K284,'Base -Receita-Despesa'!$B:$P,1,FALSE)</f>
        <v>Materiais</v>
      </c>
    </row>
    <row r="285" spans="1:12" ht="15" customHeight="1" x14ac:dyDescent="0.3">
      <c r="A285" s="82" t="str">
        <f t="shared" si="8"/>
        <v>2016</v>
      </c>
      <c r="B285" s="72" t="s">
        <v>131</v>
      </c>
      <c r="C285" s="73" t="s">
        <v>132</v>
      </c>
      <c r="D285" s="74" t="str">
        <f t="shared" si="9"/>
        <v>fev/2016</v>
      </c>
      <c r="E285" s="53">
        <v>42416</v>
      </c>
      <c r="F285" s="75" t="s">
        <v>443</v>
      </c>
      <c r="G285" s="72"/>
      <c r="H285" s="49" t="s">
        <v>444</v>
      </c>
      <c r="I285" s="49" t="s">
        <v>189</v>
      </c>
      <c r="J285" s="76">
        <v>-966.15</v>
      </c>
      <c r="K285" s="83" t="str">
        <f>IFERROR(IFERROR(VLOOKUP(I285,'DE-PARA'!B:D,3,0),VLOOKUP(I285,'DE-PARA'!C:D,2,0)),"NÃO ENCONTRADO")</f>
        <v>Materiais</v>
      </c>
      <c r="L285" s="50" t="str">
        <f>VLOOKUP(K285,'Base -Receita-Despesa'!$B:$P,1,FALSE)</f>
        <v>Materiais</v>
      </c>
    </row>
    <row r="286" spans="1:12" ht="15" customHeight="1" x14ac:dyDescent="0.3">
      <c r="A286" s="82" t="str">
        <f t="shared" si="8"/>
        <v>2016</v>
      </c>
      <c r="B286" s="72" t="s">
        <v>131</v>
      </c>
      <c r="C286" s="73" t="s">
        <v>132</v>
      </c>
      <c r="D286" s="74" t="str">
        <f t="shared" si="9"/>
        <v>fev/2016</v>
      </c>
      <c r="E286" s="53">
        <v>42416</v>
      </c>
      <c r="F286" s="75" t="s">
        <v>443</v>
      </c>
      <c r="G286" s="72"/>
      <c r="H286" s="49" t="s">
        <v>444</v>
      </c>
      <c r="I286" s="49" t="s">
        <v>189</v>
      </c>
      <c r="J286" s="76">
        <v>-966.14</v>
      </c>
      <c r="K286" s="83" t="str">
        <f>IFERROR(IFERROR(VLOOKUP(I286,'DE-PARA'!B:D,3,0),VLOOKUP(I286,'DE-PARA'!C:D,2,0)),"NÃO ENCONTRADO")</f>
        <v>Materiais</v>
      </c>
      <c r="L286" s="50" t="str">
        <f>VLOOKUP(K286,'Base -Receita-Despesa'!$B:$P,1,FALSE)</f>
        <v>Materiais</v>
      </c>
    </row>
    <row r="287" spans="1:12" ht="15" customHeight="1" x14ac:dyDescent="0.3">
      <c r="A287" s="82" t="str">
        <f t="shared" si="8"/>
        <v>2016</v>
      </c>
      <c r="B287" s="72" t="s">
        <v>131</v>
      </c>
      <c r="C287" s="73" t="s">
        <v>132</v>
      </c>
      <c r="D287" s="74" t="str">
        <f t="shared" si="9"/>
        <v>fev/2016</v>
      </c>
      <c r="E287" s="53">
        <v>42416</v>
      </c>
      <c r="F287" s="75" t="s">
        <v>445</v>
      </c>
      <c r="G287" s="72"/>
      <c r="H287" s="49" t="s">
        <v>213</v>
      </c>
      <c r="I287" s="49" t="s">
        <v>159</v>
      </c>
      <c r="J287" s="76">
        <v>-5602.67</v>
      </c>
      <c r="K287" s="83" t="str">
        <f>IFERROR(IFERROR(VLOOKUP(I287,'DE-PARA'!B:D,3,0),VLOOKUP(I287,'DE-PARA'!C:D,2,0)),"NÃO ENCONTRADO")</f>
        <v>Materiais</v>
      </c>
      <c r="L287" s="50" t="str">
        <f>VLOOKUP(K287,'Base -Receita-Despesa'!$B:$P,1,FALSE)</f>
        <v>Materiais</v>
      </c>
    </row>
    <row r="288" spans="1:12" ht="15" customHeight="1" x14ac:dyDescent="0.3">
      <c r="A288" s="82" t="str">
        <f t="shared" si="8"/>
        <v>2016</v>
      </c>
      <c r="B288" s="72" t="s">
        <v>131</v>
      </c>
      <c r="C288" s="73" t="s">
        <v>132</v>
      </c>
      <c r="D288" s="74" t="str">
        <f t="shared" si="9"/>
        <v>fev/2016</v>
      </c>
      <c r="E288" s="53">
        <v>42416</v>
      </c>
      <c r="F288" s="75" t="s">
        <v>446</v>
      </c>
      <c r="G288" s="72"/>
      <c r="H288" s="49" t="s">
        <v>216</v>
      </c>
      <c r="I288" s="49" t="s">
        <v>196</v>
      </c>
      <c r="J288" s="76">
        <v>-725.25</v>
      </c>
      <c r="K288" s="83" t="str">
        <f>IFERROR(IFERROR(VLOOKUP(I288,'DE-PARA'!B:D,3,0),VLOOKUP(I288,'DE-PARA'!C:D,2,0)),"NÃO ENCONTRADO")</f>
        <v>Materiais</v>
      </c>
      <c r="L288" s="50" t="str">
        <f>VLOOKUP(K288,'Base -Receita-Despesa'!$B:$P,1,FALSE)</f>
        <v>Materiais</v>
      </c>
    </row>
    <row r="289" spans="1:12" ht="15" customHeight="1" x14ac:dyDescent="0.3">
      <c r="A289" s="82" t="str">
        <f t="shared" si="8"/>
        <v>2016</v>
      </c>
      <c r="B289" s="72" t="s">
        <v>131</v>
      </c>
      <c r="C289" s="73" t="s">
        <v>132</v>
      </c>
      <c r="D289" s="74" t="str">
        <f t="shared" si="9"/>
        <v>fev/2016</v>
      </c>
      <c r="E289" s="53">
        <v>42416</v>
      </c>
      <c r="F289" s="75" t="s">
        <v>447</v>
      </c>
      <c r="G289" s="72"/>
      <c r="H289" s="49" t="s">
        <v>229</v>
      </c>
      <c r="I289" s="49" t="s">
        <v>159</v>
      </c>
      <c r="J289" s="76">
        <v>-2480.75</v>
      </c>
      <c r="K289" s="83" t="str">
        <f>IFERROR(IFERROR(VLOOKUP(I289,'DE-PARA'!B:D,3,0),VLOOKUP(I289,'DE-PARA'!C:D,2,0)),"NÃO ENCONTRADO")</f>
        <v>Materiais</v>
      </c>
      <c r="L289" s="50" t="str">
        <f>VLOOKUP(K289,'Base -Receita-Despesa'!$B:$P,1,FALSE)</f>
        <v>Materiais</v>
      </c>
    </row>
    <row r="290" spans="1:12" ht="15" customHeight="1" x14ac:dyDescent="0.3">
      <c r="A290" s="82" t="str">
        <f t="shared" si="8"/>
        <v>2016</v>
      </c>
      <c r="B290" s="72" t="s">
        <v>131</v>
      </c>
      <c r="C290" s="73" t="s">
        <v>132</v>
      </c>
      <c r="D290" s="74" t="str">
        <f t="shared" si="9"/>
        <v>fev/2016</v>
      </c>
      <c r="E290" s="53">
        <v>42416</v>
      </c>
      <c r="F290" s="75" t="s">
        <v>448</v>
      </c>
      <c r="G290" s="72"/>
      <c r="H290" s="49" t="s">
        <v>229</v>
      </c>
      <c r="I290" s="49" t="s">
        <v>159</v>
      </c>
      <c r="J290" s="76">
        <v>-922.85</v>
      </c>
      <c r="K290" s="83" t="str">
        <f>IFERROR(IFERROR(VLOOKUP(I290,'DE-PARA'!B:D,3,0),VLOOKUP(I290,'DE-PARA'!C:D,2,0)),"NÃO ENCONTRADO")</f>
        <v>Materiais</v>
      </c>
      <c r="L290" s="50" t="str">
        <f>VLOOKUP(K290,'Base -Receita-Despesa'!$B:$P,1,FALSE)</f>
        <v>Materiais</v>
      </c>
    </row>
    <row r="291" spans="1:12" ht="15" customHeight="1" x14ac:dyDescent="0.3">
      <c r="A291" s="82" t="str">
        <f t="shared" si="8"/>
        <v>2016</v>
      </c>
      <c r="B291" s="72" t="s">
        <v>131</v>
      </c>
      <c r="C291" s="73" t="s">
        <v>132</v>
      </c>
      <c r="D291" s="74" t="str">
        <f t="shared" si="9"/>
        <v>fev/2016</v>
      </c>
      <c r="E291" s="53">
        <v>42416</v>
      </c>
      <c r="F291" s="75" t="s">
        <v>449</v>
      </c>
      <c r="G291" s="72"/>
      <c r="H291" s="49" t="s">
        <v>229</v>
      </c>
      <c r="I291" s="49" t="s">
        <v>159</v>
      </c>
      <c r="J291" s="76">
        <v>-3008.42</v>
      </c>
      <c r="K291" s="83" t="str">
        <f>IFERROR(IFERROR(VLOOKUP(I291,'DE-PARA'!B:D,3,0),VLOOKUP(I291,'DE-PARA'!C:D,2,0)),"NÃO ENCONTRADO")</f>
        <v>Materiais</v>
      </c>
      <c r="L291" s="50" t="str">
        <f>VLOOKUP(K291,'Base -Receita-Despesa'!$B:$P,1,FALSE)</f>
        <v>Materiais</v>
      </c>
    </row>
    <row r="292" spans="1:12" ht="15" customHeight="1" x14ac:dyDescent="0.3">
      <c r="A292" s="82" t="str">
        <f t="shared" si="8"/>
        <v>2016</v>
      </c>
      <c r="B292" s="72" t="s">
        <v>131</v>
      </c>
      <c r="C292" s="73" t="s">
        <v>132</v>
      </c>
      <c r="D292" s="74" t="str">
        <f t="shared" si="9"/>
        <v>fev/2016</v>
      </c>
      <c r="E292" s="53">
        <v>42416</v>
      </c>
      <c r="F292" s="75" t="s">
        <v>343</v>
      </c>
      <c r="G292" s="72"/>
      <c r="H292" s="49" t="s">
        <v>229</v>
      </c>
      <c r="I292" s="49" t="s">
        <v>159</v>
      </c>
      <c r="J292" s="76">
        <v>-1499.07</v>
      </c>
      <c r="K292" s="83" t="str">
        <f>IFERROR(IFERROR(VLOOKUP(I292,'DE-PARA'!B:D,3,0),VLOOKUP(I292,'DE-PARA'!C:D,2,0)),"NÃO ENCONTRADO")</f>
        <v>Materiais</v>
      </c>
      <c r="L292" s="50" t="str">
        <f>VLOOKUP(K292,'Base -Receita-Despesa'!$B:$P,1,FALSE)</f>
        <v>Materiais</v>
      </c>
    </row>
    <row r="293" spans="1:12" ht="15" customHeight="1" x14ac:dyDescent="0.3">
      <c r="A293" s="82" t="str">
        <f t="shared" si="8"/>
        <v>2016</v>
      </c>
      <c r="B293" s="72" t="s">
        <v>131</v>
      </c>
      <c r="C293" s="73" t="s">
        <v>132</v>
      </c>
      <c r="D293" s="74" t="str">
        <f t="shared" si="9"/>
        <v>fev/2016</v>
      </c>
      <c r="E293" s="53">
        <v>42416</v>
      </c>
      <c r="F293" s="75" t="s">
        <v>342</v>
      </c>
      <c r="G293" s="72"/>
      <c r="H293" s="49" t="s">
        <v>229</v>
      </c>
      <c r="I293" s="49" t="s">
        <v>159</v>
      </c>
      <c r="J293" s="76">
        <v>-1019.7</v>
      </c>
      <c r="K293" s="83" t="str">
        <f>IFERROR(IFERROR(VLOOKUP(I293,'DE-PARA'!B:D,3,0),VLOOKUP(I293,'DE-PARA'!C:D,2,0)),"NÃO ENCONTRADO")</f>
        <v>Materiais</v>
      </c>
      <c r="L293" s="50" t="str">
        <f>VLOOKUP(K293,'Base -Receita-Despesa'!$B:$P,1,FALSE)</f>
        <v>Materiais</v>
      </c>
    </row>
    <row r="294" spans="1:12" ht="15" customHeight="1" x14ac:dyDescent="0.3">
      <c r="A294" s="82" t="str">
        <f t="shared" si="8"/>
        <v>2016</v>
      </c>
      <c r="B294" s="72" t="s">
        <v>131</v>
      </c>
      <c r="C294" s="73" t="s">
        <v>132</v>
      </c>
      <c r="D294" s="74" t="str">
        <f t="shared" si="9"/>
        <v>fev/2016</v>
      </c>
      <c r="E294" s="53">
        <v>42416</v>
      </c>
      <c r="F294" s="75" t="s">
        <v>344</v>
      </c>
      <c r="G294" s="72"/>
      <c r="H294" s="49" t="s">
        <v>229</v>
      </c>
      <c r="I294" s="49" t="s">
        <v>159</v>
      </c>
      <c r="J294" s="76">
        <v>-1864.87</v>
      </c>
      <c r="K294" s="83" t="str">
        <f>IFERROR(IFERROR(VLOOKUP(I294,'DE-PARA'!B:D,3,0),VLOOKUP(I294,'DE-PARA'!C:D,2,0)),"NÃO ENCONTRADO")</f>
        <v>Materiais</v>
      </c>
      <c r="L294" s="50" t="str">
        <f>VLOOKUP(K294,'Base -Receita-Despesa'!$B:$P,1,FALSE)</f>
        <v>Materiais</v>
      </c>
    </row>
    <row r="295" spans="1:12" ht="15" customHeight="1" x14ac:dyDescent="0.3">
      <c r="A295" s="82" t="str">
        <f t="shared" si="8"/>
        <v>2016</v>
      </c>
      <c r="B295" s="72" t="s">
        <v>131</v>
      </c>
      <c r="C295" s="73" t="s">
        <v>132</v>
      </c>
      <c r="D295" s="74" t="str">
        <f t="shared" si="9"/>
        <v>fev/2016</v>
      </c>
      <c r="E295" s="53">
        <v>42416</v>
      </c>
      <c r="F295" s="75" t="s">
        <v>450</v>
      </c>
      <c r="G295" s="72"/>
      <c r="H295" s="49" t="s">
        <v>190</v>
      </c>
      <c r="I295" s="49" t="s">
        <v>191</v>
      </c>
      <c r="J295" s="76">
        <v>-3190.9</v>
      </c>
      <c r="K295" s="83" t="str">
        <f>IFERROR(IFERROR(VLOOKUP(I295,'DE-PARA'!B:D,3,0),VLOOKUP(I295,'DE-PARA'!C:D,2,0)),"NÃO ENCONTRADO")</f>
        <v>Serviços</v>
      </c>
      <c r="L295" s="50" t="str">
        <f>VLOOKUP(K295,'Base -Receita-Despesa'!$B:$P,1,FALSE)</f>
        <v>Serviços</v>
      </c>
    </row>
    <row r="296" spans="1:12" ht="15" customHeight="1" x14ac:dyDescent="0.3">
      <c r="A296" s="82" t="str">
        <f t="shared" si="8"/>
        <v>2016</v>
      </c>
      <c r="B296" s="72" t="s">
        <v>131</v>
      </c>
      <c r="C296" s="73" t="s">
        <v>132</v>
      </c>
      <c r="D296" s="74" t="str">
        <f t="shared" si="9"/>
        <v>fev/2016</v>
      </c>
      <c r="E296" s="53">
        <v>42417</v>
      </c>
      <c r="F296" s="75" t="s">
        <v>409</v>
      </c>
      <c r="G296" s="72"/>
      <c r="H296" s="49" t="s">
        <v>410</v>
      </c>
      <c r="I296" s="49" t="s">
        <v>112</v>
      </c>
      <c r="J296" s="76">
        <v>-60045.69</v>
      </c>
      <c r="K296" s="83" t="str">
        <f>IFERROR(IFERROR(VLOOKUP(I296,'DE-PARA'!B:D,3,0),VLOOKUP(I296,'DE-PARA'!C:D,2,0)),"NÃO ENCONTRADO")</f>
        <v>Serviços</v>
      </c>
      <c r="L296" s="50" t="str">
        <f>VLOOKUP(K296,'Base -Receita-Despesa'!$B:$P,1,FALSE)</f>
        <v>Serviços</v>
      </c>
    </row>
    <row r="297" spans="1:12" ht="15" customHeight="1" x14ac:dyDescent="0.3">
      <c r="A297" s="82" t="str">
        <f t="shared" si="8"/>
        <v>2016</v>
      </c>
      <c r="B297" s="72" t="s">
        <v>131</v>
      </c>
      <c r="C297" s="73" t="s">
        <v>132</v>
      </c>
      <c r="D297" s="74" t="str">
        <f t="shared" si="9"/>
        <v>fev/2016</v>
      </c>
      <c r="E297" s="53">
        <v>42417</v>
      </c>
      <c r="F297" s="75" t="s">
        <v>451</v>
      </c>
      <c r="G297" s="72"/>
      <c r="H297" s="49" t="s">
        <v>193</v>
      </c>
      <c r="I297" s="49" t="s">
        <v>194</v>
      </c>
      <c r="J297" s="76">
        <v>-1018.25</v>
      </c>
      <c r="K297" s="83" t="str">
        <f>IFERROR(IFERROR(VLOOKUP(I297,'DE-PARA'!B:D,3,0),VLOOKUP(I297,'DE-PARA'!C:D,2,0)),"NÃO ENCONTRADO")</f>
        <v>Despesas com Viagens</v>
      </c>
      <c r="L297" s="50" t="str">
        <f>VLOOKUP(K297,'Base -Receita-Despesa'!$B:$P,1,FALSE)</f>
        <v>Despesas com Viagens</v>
      </c>
    </row>
    <row r="298" spans="1:12" ht="15" customHeight="1" x14ac:dyDescent="0.3">
      <c r="A298" s="82" t="str">
        <f t="shared" si="8"/>
        <v>2016</v>
      </c>
      <c r="B298" s="72" t="s">
        <v>131</v>
      </c>
      <c r="C298" s="73" t="s">
        <v>132</v>
      </c>
      <c r="D298" s="74" t="str">
        <f t="shared" si="9"/>
        <v>fev/2016</v>
      </c>
      <c r="E298" s="53">
        <v>42417</v>
      </c>
      <c r="F298" s="75" t="s">
        <v>154</v>
      </c>
      <c r="G298" s="72"/>
      <c r="H298" s="49" t="s">
        <v>154</v>
      </c>
      <c r="I298" s="49" t="s">
        <v>1497</v>
      </c>
      <c r="J298" s="76">
        <v>191037.25</v>
      </c>
      <c r="K298" s="83" t="str">
        <f>IFERROR(IFERROR(VLOOKUP(I298,'DE-PARA'!B:D,3,0),VLOOKUP(I298,'DE-PARA'!C:D,2,0)),"NÃO ENCONTRADO")</f>
        <v>Repasses Contrato de Gestão</v>
      </c>
      <c r="L298" s="50" t="str">
        <f>VLOOKUP(K298,'Base -Receita-Despesa'!$B:$P,1,FALSE)</f>
        <v>Repasses Contrato de Gestão</v>
      </c>
    </row>
    <row r="299" spans="1:12" ht="15" customHeight="1" x14ac:dyDescent="0.3">
      <c r="A299" s="82" t="str">
        <f t="shared" si="8"/>
        <v>2016</v>
      </c>
      <c r="B299" s="72" t="s">
        <v>131</v>
      </c>
      <c r="C299" s="73" t="s">
        <v>132</v>
      </c>
      <c r="D299" s="74" t="str">
        <f t="shared" si="9"/>
        <v>fev/2016</v>
      </c>
      <c r="E299" s="53">
        <v>42417</v>
      </c>
      <c r="F299" s="75" t="s">
        <v>155</v>
      </c>
      <c r="G299" s="72"/>
      <c r="H299" s="49" t="s">
        <v>452</v>
      </c>
      <c r="I299" s="49" t="s">
        <v>157</v>
      </c>
      <c r="J299" s="76">
        <v>-5680.31</v>
      </c>
      <c r="K299" s="83" t="str">
        <f>IFERROR(IFERROR(VLOOKUP(I299,'DE-PARA'!B:D,3,0),VLOOKUP(I299,'DE-PARA'!C:D,2,0)),"NÃO ENCONTRADO")</f>
        <v>Concessionárias (água, luz e telefone)</v>
      </c>
      <c r="L299" s="50" t="str">
        <f>VLOOKUP(K299,'Base -Receita-Despesa'!$B:$P,1,FALSE)</f>
        <v>Concessionárias (água, luz e telefone)</v>
      </c>
    </row>
    <row r="300" spans="1:12" ht="15" customHeight="1" x14ac:dyDescent="0.3">
      <c r="A300" s="82" t="str">
        <f t="shared" si="8"/>
        <v>2016</v>
      </c>
      <c r="B300" s="72" t="s">
        <v>131</v>
      </c>
      <c r="C300" s="73" t="s">
        <v>132</v>
      </c>
      <c r="D300" s="74" t="str">
        <f t="shared" si="9"/>
        <v>fev/2016</v>
      </c>
      <c r="E300" s="53">
        <v>42417</v>
      </c>
      <c r="F300" s="75" t="s">
        <v>266</v>
      </c>
      <c r="G300" s="72"/>
      <c r="H300" s="49" t="s">
        <v>385</v>
      </c>
      <c r="I300" s="49" t="s">
        <v>159</v>
      </c>
      <c r="J300" s="76">
        <v>-529.38</v>
      </c>
      <c r="K300" s="83" t="str">
        <f>IFERROR(IFERROR(VLOOKUP(I300,'DE-PARA'!B:D,3,0),VLOOKUP(I300,'DE-PARA'!C:D,2,0)),"NÃO ENCONTRADO")</f>
        <v>Materiais</v>
      </c>
      <c r="L300" s="50" t="str">
        <f>VLOOKUP(K300,'Base -Receita-Despesa'!$B:$P,1,FALSE)</f>
        <v>Materiais</v>
      </c>
    </row>
    <row r="301" spans="1:12" ht="15" customHeight="1" x14ac:dyDescent="0.3">
      <c r="A301" s="82" t="str">
        <f t="shared" si="8"/>
        <v>2016</v>
      </c>
      <c r="B301" s="72" t="s">
        <v>131</v>
      </c>
      <c r="C301" s="73" t="s">
        <v>132</v>
      </c>
      <c r="D301" s="74" t="str">
        <f t="shared" si="9"/>
        <v>fev/2016</v>
      </c>
      <c r="E301" s="53">
        <v>42417</v>
      </c>
      <c r="F301" s="75" t="s">
        <v>136</v>
      </c>
      <c r="G301" s="72"/>
      <c r="H301" s="49" t="s">
        <v>149</v>
      </c>
      <c r="I301" s="49" t="s">
        <v>129</v>
      </c>
      <c r="J301" s="76">
        <v>-7.85</v>
      </c>
      <c r="K301" s="83" t="str">
        <f>IFERROR(IFERROR(VLOOKUP(I301,'DE-PARA'!B:D,3,0),VLOOKUP(I301,'DE-PARA'!C:D,2,0)),"NÃO ENCONTRADO")</f>
        <v>Outras Saídas</v>
      </c>
      <c r="L301" s="50" t="str">
        <f>VLOOKUP(K301,'Base -Receita-Despesa'!$B:$P,1,FALSE)</f>
        <v>Outras Saídas</v>
      </c>
    </row>
    <row r="302" spans="1:12" ht="15" customHeight="1" x14ac:dyDescent="0.3">
      <c r="A302" s="82" t="str">
        <f t="shared" si="8"/>
        <v>2016</v>
      </c>
      <c r="B302" s="72" t="s">
        <v>131</v>
      </c>
      <c r="C302" s="73" t="s">
        <v>132</v>
      </c>
      <c r="D302" s="74" t="str">
        <f t="shared" si="9"/>
        <v>fev/2016</v>
      </c>
      <c r="E302" s="53">
        <v>42417</v>
      </c>
      <c r="F302" s="75" t="s">
        <v>136</v>
      </c>
      <c r="G302" s="72"/>
      <c r="H302" s="49" t="s">
        <v>149</v>
      </c>
      <c r="I302" s="49" t="s">
        <v>129</v>
      </c>
      <c r="J302" s="76">
        <v>-7.85</v>
      </c>
      <c r="K302" s="83" t="str">
        <f>IFERROR(IFERROR(VLOOKUP(I302,'DE-PARA'!B:D,3,0),VLOOKUP(I302,'DE-PARA'!C:D,2,0)),"NÃO ENCONTRADO")</f>
        <v>Outras Saídas</v>
      </c>
      <c r="L302" s="50" t="str">
        <f>VLOOKUP(K302,'Base -Receita-Despesa'!$B:$P,1,FALSE)</f>
        <v>Outras Saídas</v>
      </c>
    </row>
    <row r="303" spans="1:12" ht="15" customHeight="1" x14ac:dyDescent="0.3">
      <c r="A303" s="82" t="str">
        <f t="shared" si="8"/>
        <v>2016</v>
      </c>
      <c r="B303" s="72" t="s">
        <v>131</v>
      </c>
      <c r="C303" s="73" t="s">
        <v>132</v>
      </c>
      <c r="D303" s="74" t="str">
        <f t="shared" si="9"/>
        <v>fev/2016</v>
      </c>
      <c r="E303" s="53">
        <v>42417</v>
      </c>
      <c r="F303" s="75" t="s">
        <v>136</v>
      </c>
      <c r="G303" s="72"/>
      <c r="H303" s="49" t="s">
        <v>149</v>
      </c>
      <c r="I303" s="49" t="s">
        <v>129</v>
      </c>
      <c r="J303" s="76">
        <v>-7.85</v>
      </c>
      <c r="K303" s="83" t="str">
        <f>IFERROR(IFERROR(VLOOKUP(I303,'DE-PARA'!B:D,3,0),VLOOKUP(I303,'DE-PARA'!C:D,2,0)),"NÃO ENCONTRADO")</f>
        <v>Outras Saídas</v>
      </c>
      <c r="L303" s="50" t="str">
        <f>VLOOKUP(K303,'Base -Receita-Despesa'!$B:$P,1,FALSE)</f>
        <v>Outras Saídas</v>
      </c>
    </row>
    <row r="304" spans="1:12" ht="15" customHeight="1" x14ac:dyDescent="0.3">
      <c r="A304" s="82" t="str">
        <f t="shared" si="8"/>
        <v>2016</v>
      </c>
      <c r="B304" s="72" t="s">
        <v>131</v>
      </c>
      <c r="C304" s="73" t="s">
        <v>132</v>
      </c>
      <c r="D304" s="74" t="str">
        <f t="shared" si="9"/>
        <v>fev/2016</v>
      </c>
      <c r="E304" s="53">
        <v>42417</v>
      </c>
      <c r="F304" s="75" t="s">
        <v>136</v>
      </c>
      <c r="G304" s="72"/>
      <c r="H304" s="49" t="s">
        <v>149</v>
      </c>
      <c r="I304" s="49" t="s">
        <v>129</v>
      </c>
      <c r="J304" s="76">
        <v>-7.85</v>
      </c>
      <c r="K304" s="83" t="str">
        <f>IFERROR(IFERROR(VLOOKUP(I304,'DE-PARA'!B:D,3,0),VLOOKUP(I304,'DE-PARA'!C:D,2,0)),"NÃO ENCONTRADO")</f>
        <v>Outras Saídas</v>
      </c>
      <c r="L304" s="50" t="str">
        <f>VLOOKUP(K304,'Base -Receita-Despesa'!$B:$P,1,FALSE)</f>
        <v>Outras Saídas</v>
      </c>
    </row>
    <row r="305" spans="1:12" ht="15" customHeight="1" x14ac:dyDescent="0.3">
      <c r="A305" s="82" t="str">
        <f t="shared" si="8"/>
        <v>2016</v>
      </c>
      <c r="B305" s="72" t="s">
        <v>131</v>
      </c>
      <c r="C305" s="73" t="s">
        <v>132</v>
      </c>
      <c r="D305" s="74" t="str">
        <f t="shared" si="9"/>
        <v>fev/2016</v>
      </c>
      <c r="E305" s="53">
        <v>42417</v>
      </c>
      <c r="F305" s="75" t="s">
        <v>136</v>
      </c>
      <c r="G305" s="72"/>
      <c r="H305" s="49" t="s">
        <v>149</v>
      </c>
      <c r="I305" s="49" t="s">
        <v>129</v>
      </c>
      <c r="J305" s="76">
        <v>-7.85</v>
      </c>
      <c r="K305" s="83" t="str">
        <f>IFERROR(IFERROR(VLOOKUP(I305,'DE-PARA'!B:D,3,0),VLOOKUP(I305,'DE-PARA'!C:D,2,0)),"NÃO ENCONTRADO")</f>
        <v>Outras Saídas</v>
      </c>
      <c r="L305" s="50" t="str">
        <f>VLOOKUP(K305,'Base -Receita-Despesa'!$B:$P,1,FALSE)</f>
        <v>Outras Saídas</v>
      </c>
    </row>
    <row r="306" spans="1:12" ht="15" customHeight="1" x14ac:dyDescent="0.3">
      <c r="A306" s="82" t="str">
        <f t="shared" si="8"/>
        <v>2016</v>
      </c>
      <c r="B306" s="72" t="s">
        <v>131</v>
      </c>
      <c r="C306" s="73" t="s">
        <v>132</v>
      </c>
      <c r="D306" s="74" t="str">
        <f t="shared" si="9"/>
        <v>fev/2016</v>
      </c>
      <c r="E306" s="53">
        <v>42417</v>
      </c>
      <c r="F306" s="75" t="s">
        <v>381</v>
      </c>
      <c r="G306" s="72"/>
      <c r="H306" s="49" t="s">
        <v>178</v>
      </c>
      <c r="I306" s="49" t="s">
        <v>110</v>
      </c>
      <c r="J306" s="76">
        <v>-2590.2600000000002</v>
      </c>
      <c r="K306" s="83" t="str">
        <f>IFERROR(IFERROR(VLOOKUP(I306,'DE-PARA'!B:D,3,0),VLOOKUP(I306,'DE-PARA'!C:D,2,0)),"NÃO ENCONTRADO")</f>
        <v>Serviços</v>
      </c>
      <c r="L306" s="50" t="str">
        <f>VLOOKUP(K306,'Base -Receita-Despesa'!$B:$P,1,FALSE)</f>
        <v>Serviços</v>
      </c>
    </row>
    <row r="307" spans="1:12" ht="15" customHeight="1" x14ac:dyDescent="0.3">
      <c r="A307" s="82" t="str">
        <f t="shared" si="8"/>
        <v>2016</v>
      </c>
      <c r="B307" s="72" t="s">
        <v>131</v>
      </c>
      <c r="C307" s="73" t="s">
        <v>132</v>
      </c>
      <c r="D307" s="74" t="str">
        <f t="shared" si="9"/>
        <v>fev/2016</v>
      </c>
      <c r="E307" s="53">
        <v>42417</v>
      </c>
      <c r="F307" s="75" t="s">
        <v>453</v>
      </c>
      <c r="G307" s="72"/>
      <c r="H307" s="49" t="s">
        <v>165</v>
      </c>
      <c r="I307" s="49" t="s">
        <v>113</v>
      </c>
      <c r="J307" s="76">
        <v>-78953.25</v>
      </c>
      <c r="K307" s="83" t="str">
        <f>IFERROR(IFERROR(VLOOKUP(I307,'DE-PARA'!B:D,3,0),VLOOKUP(I307,'DE-PARA'!C:D,2,0)),"NÃO ENCONTRADO")</f>
        <v>Serviços</v>
      </c>
      <c r="L307" s="50" t="str">
        <f>VLOOKUP(K307,'Base -Receita-Despesa'!$B:$P,1,FALSE)</f>
        <v>Serviços</v>
      </c>
    </row>
    <row r="308" spans="1:12" ht="15" customHeight="1" x14ac:dyDescent="0.3">
      <c r="A308" s="82" t="str">
        <f t="shared" si="8"/>
        <v>2016</v>
      </c>
      <c r="B308" s="72" t="s">
        <v>131</v>
      </c>
      <c r="C308" s="73" t="s">
        <v>132</v>
      </c>
      <c r="D308" s="74" t="str">
        <f t="shared" si="9"/>
        <v>fev/2016</v>
      </c>
      <c r="E308" s="53">
        <v>42417</v>
      </c>
      <c r="F308" s="75" t="s">
        <v>454</v>
      </c>
      <c r="G308" s="72"/>
      <c r="H308" s="49" t="s">
        <v>165</v>
      </c>
      <c r="I308" s="49" t="s">
        <v>113</v>
      </c>
      <c r="J308" s="76">
        <v>-12292.64</v>
      </c>
      <c r="K308" s="83" t="str">
        <f>IFERROR(IFERROR(VLOOKUP(I308,'DE-PARA'!B:D,3,0),VLOOKUP(I308,'DE-PARA'!C:D,2,0)),"NÃO ENCONTRADO")</f>
        <v>Serviços</v>
      </c>
      <c r="L308" s="50" t="str">
        <f>VLOOKUP(K308,'Base -Receita-Despesa'!$B:$P,1,FALSE)</f>
        <v>Serviços</v>
      </c>
    </row>
    <row r="309" spans="1:12" ht="15" customHeight="1" x14ac:dyDescent="0.3">
      <c r="A309" s="82" t="str">
        <f t="shared" si="8"/>
        <v>2016</v>
      </c>
      <c r="B309" s="72" t="s">
        <v>131</v>
      </c>
      <c r="C309" s="73" t="s">
        <v>132</v>
      </c>
      <c r="D309" s="74" t="str">
        <f t="shared" si="9"/>
        <v>fev/2016</v>
      </c>
      <c r="E309" s="53">
        <v>42417</v>
      </c>
      <c r="F309" s="75" t="s">
        <v>455</v>
      </c>
      <c r="G309" s="72"/>
      <c r="H309" s="49" t="s">
        <v>203</v>
      </c>
      <c r="I309" s="49" t="s">
        <v>204</v>
      </c>
      <c r="J309" s="76">
        <v>-7000</v>
      </c>
      <c r="K309" s="83" t="str">
        <f>IFERROR(IFERROR(VLOOKUP(I309,'DE-PARA'!B:D,3,0),VLOOKUP(I309,'DE-PARA'!C:D,2,0)),"NÃO ENCONTRADO")</f>
        <v>Serviços</v>
      </c>
      <c r="L309" s="50" t="str">
        <f>VLOOKUP(K309,'Base -Receita-Despesa'!$B:$P,1,FALSE)</f>
        <v>Serviços</v>
      </c>
    </row>
    <row r="310" spans="1:12" ht="15" customHeight="1" x14ac:dyDescent="0.3">
      <c r="A310" s="82" t="str">
        <f t="shared" si="8"/>
        <v>2016</v>
      </c>
      <c r="B310" s="72" t="s">
        <v>131</v>
      </c>
      <c r="C310" s="73" t="s">
        <v>132</v>
      </c>
      <c r="D310" s="74" t="str">
        <f t="shared" si="9"/>
        <v>fev/2016</v>
      </c>
      <c r="E310" s="53">
        <v>42417</v>
      </c>
      <c r="F310" s="75" t="s">
        <v>456</v>
      </c>
      <c r="G310" s="72"/>
      <c r="H310" s="49" t="s">
        <v>221</v>
      </c>
      <c r="I310" s="49" t="s">
        <v>110</v>
      </c>
      <c r="J310" s="76">
        <v>-10080</v>
      </c>
      <c r="K310" s="83" t="str">
        <f>IFERROR(IFERROR(VLOOKUP(I310,'DE-PARA'!B:D,3,0),VLOOKUP(I310,'DE-PARA'!C:D,2,0)),"NÃO ENCONTRADO")</f>
        <v>Serviços</v>
      </c>
      <c r="L310" s="50" t="str">
        <f>VLOOKUP(K310,'Base -Receita-Despesa'!$B:$P,1,FALSE)</f>
        <v>Serviços</v>
      </c>
    </row>
    <row r="311" spans="1:12" ht="15" customHeight="1" x14ac:dyDescent="0.3">
      <c r="A311" s="82" t="str">
        <f t="shared" si="8"/>
        <v>2016</v>
      </c>
      <c r="B311" s="72" t="s">
        <v>131</v>
      </c>
      <c r="C311" s="73" t="s">
        <v>132</v>
      </c>
      <c r="D311" s="74" t="str">
        <f t="shared" si="9"/>
        <v>fev/2016</v>
      </c>
      <c r="E311" s="53">
        <v>42417</v>
      </c>
      <c r="F311" s="75" t="s">
        <v>457</v>
      </c>
      <c r="G311" s="72"/>
      <c r="H311" s="49" t="s">
        <v>205</v>
      </c>
      <c r="I311" s="49" t="s">
        <v>206</v>
      </c>
      <c r="J311" s="76">
        <v>-3000</v>
      </c>
      <c r="K311" s="83" t="str">
        <f>IFERROR(IFERROR(VLOOKUP(I311,'DE-PARA'!B:D,3,0),VLOOKUP(I311,'DE-PARA'!C:D,2,0)),"NÃO ENCONTRADO")</f>
        <v>Serviços</v>
      </c>
      <c r="L311" s="50" t="str">
        <f>VLOOKUP(K311,'Base -Receita-Despesa'!$B:$P,1,FALSE)</f>
        <v>Serviços</v>
      </c>
    </row>
    <row r="312" spans="1:12" ht="15" customHeight="1" x14ac:dyDescent="0.3">
      <c r="A312" s="82" t="str">
        <f t="shared" si="8"/>
        <v>2016</v>
      </c>
      <c r="B312" s="72" t="s">
        <v>131</v>
      </c>
      <c r="C312" s="73" t="s">
        <v>132</v>
      </c>
      <c r="D312" s="74" t="str">
        <f t="shared" si="9"/>
        <v>fev/2016</v>
      </c>
      <c r="E312" s="53">
        <v>42417</v>
      </c>
      <c r="F312" s="75" t="s">
        <v>458</v>
      </c>
      <c r="G312" s="72"/>
      <c r="H312" s="49" t="s">
        <v>438</v>
      </c>
      <c r="I312" s="49" t="s">
        <v>196</v>
      </c>
      <c r="J312" s="76">
        <v>-289.99</v>
      </c>
      <c r="K312" s="83" t="str">
        <f>IFERROR(IFERROR(VLOOKUP(I312,'DE-PARA'!B:D,3,0),VLOOKUP(I312,'DE-PARA'!C:D,2,0)),"NÃO ENCONTRADO")</f>
        <v>Materiais</v>
      </c>
      <c r="L312" s="50" t="str">
        <f>VLOOKUP(K312,'Base -Receita-Despesa'!$B:$P,1,FALSE)</f>
        <v>Materiais</v>
      </c>
    </row>
    <row r="313" spans="1:12" ht="15" customHeight="1" x14ac:dyDescent="0.3">
      <c r="A313" s="82" t="str">
        <f t="shared" si="8"/>
        <v>2016</v>
      </c>
      <c r="B313" s="72" t="s">
        <v>131</v>
      </c>
      <c r="C313" s="73" t="s">
        <v>132</v>
      </c>
      <c r="D313" s="74" t="str">
        <f t="shared" si="9"/>
        <v>fev/2016</v>
      </c>
      <c r="E313" s="53">
        <v>42417</v>
      </c>
      <c r="F313" s="75" t="s">
        <v>437</v>
      </c>
      <c r="G313" s="72"/>
      <c r="H313" s="49" t="s">
        <v>438</v>
      </c>
      <c r="I313" s="49" t="s">
        <v>196</v>
      </c>
      <c r="J313" s="76">
        <v>-495.66</v>
      </c>
      <c r="K313" s="83" t="str">
        <f>IFERROR(IFERROR(VLOOKUP(I313,'DE-PARA'!B:D,3,0),VLOOKUP(I313,'DE-PARA'!C:D,2,0)),"NÃO ENCONTRADO")</f>
        <v>Materiais</v>
      </c>
      <c r="L313" s="50" t="str">
        <f>VLOOKUP(K313,'Base -Receita-Despesa'!$B:$P,1,FALSE)</f>
        <v>Materiais</v>
      </c>
    </row>
    <row r="314" spans="1:12" ht="15" customHeight="1" x14ac:dyDescent="0.3">
      <c r="A314" s="82" t="str">
        <f t="shared" si="8"/>
        <v>2016</v>
      </c>
      <c r="B314" s="72" t="s">
        <v>131</v>
      </c>
      <c r="C314" s="73" t="s">
        <v>132</v>
      </c>
      <c r="D314" s="74" t="str">
        <f t="shared" si="9"/>
        <v>fev/2016</v>
      </c>
      <c r="E314" s="53">
        <v>42417</v>
      </c>
      <c r="F314" s="75" t="s">
        <v>459</v>
      </c>
      <c r="G314" s="72"/>
      <c r="H314" s="49" t="s">
        <v>224</v>
      </c>
      <c r="I314" s="49" t="s">
        <v>150</v>
      </c>
      <c r="J314" s="76">
        <v>-660</v>
      </c>
      <c r="K314" s="83" t="str">
        <f>IFERROR(IFERROR(VLOOKUP(I314,'DE-PARA'!B:D,3,0),VLOOKUP(I314,'DE-PARA'!C:D,2,0)),"NÃO ENCONTRADO")</f>
        <v>Materiais</v>
      </c>
      <c r="L314" s="50" t="str">
        <f>VLOOKUP(K314,'Base -Receita-Despesa'!$B:$P,1,FALSE)</f>
        <v>Materiais</v>
      </c>
    </row>
    <row r="315" spans="1:12" ht="15" customHeight="1" x14ac:dyDescent="0.3">
      <c r="A315" s="82" t="str">
        <f t="shared" si="8"/>
        <v>2016</v>
      </c>
      <c r="B315" s="72" t="s">
        <v>131</v>
      </c>
      <c r="C315" s="73" t="s">
        <v>132</v>
      </c>
      <c r="D315" s="74" t="str">
        <f t="shared" si="9"/>
        <v>fev/2016</v>
      </c>
      <c r="E315" s="53">
        <v>42417</v>
      </c>
      <c r="F315" s="75" t="s">
        <v>133</v>
      </c>
      <c r="G315" s="72"/>
      <c r="H315" s="49" t="s">
        <v>392</v>
      </c>
      <c r="I315" s="49" t="s">
        <v>135</v>
      </c>
      <c r="J315" s="76">
        <v>-3258.16</v>
      </c>
      <c r="K315" s="83" t="str">
        <f>IFERROR(IFERROR(VLOOKUP(I315,'DE-PARA'!B:D,3,0),VLOOKUP(I315,'DE-PARA'!C:D,2,0)),"NÃO ENCONTRADO")</f>
        <v>Pessoal</v>
      </c>
      <c r="L315" s="50" t="str">
        <f>VLOOKUP(K315,'Base -Receita-Despesa'!$B:$P,1,FALSE)</f>
        <v>Pessoal</v>
      </c>
    </row>
    <row r="316" spans="1:12" ht="15" customHeight="1" x14ac:dyDescent="0.3">
      <c r="A316" s="82" t="str">
        <f t="shared" si="8"/>
        <v>2016</v>
      </c>
      <c r="B316" s="72" t="s">
        <v>131</v>
      </c>
      <c r="C316" s="73" t="s">
        <v>132</v>
      </c>
      <c r="D316" s="74" t="str">
        <f t="shared" si="9"/>
        <v>fev/2016</v>
      </c>
      <c r="E316" s="53">
        <v>42417</v>
      </c>
      <c r="F316" s="75" t="s">
        <v>460</v>
      </c>
      <c r="G316" s="72"/>
      <c r="H316" s="49" t="s">
        <v>226</v>
      </c>
      <c r="I316" s="49" t="s">
        <v>177</v>
      </c>
      <c r="J316" s="76">
        <v>-4045.14</v>
      </c>
      <c r="K316" s="83" t="str">
        <f>IFERROR(IFERROR(VLOOKUP(I316,'DE-PARA'!B:D,3,0),VLOOKUP(I316,'DE-PARA'!C:D,2,0)),"NÃO ENCONTRADO")</f>
        <v>Materiais</v>
      </c>
      <c r="L316" s="50" t="str">
        <f>VLOOKUP(K316,'Base -Receita-Despesa'!$B:$P,1,FALSE)</f>
        <v>Materiais</v>
      </c>
    </row>
    <row r="317" spans="1:12" ht="15" customHeight="1" x14ac:dyDescent="0.3">
      <c r="A317" s="82" t="str">
        <f t="shared" si="8"/>
        <v>2016</v>
      </c>
      <c r="B317" s="72" t="s">
        <v>131</v>
      </c>
      <c r="C317" s="73" t="s">
        <v>132</v>
      </c>
      <c r="D317" s="74" t="str">
        <f t="shared" si="9"/>
        <v>fev/2016</v>
      </c>
      <c r="E317" s="53">
        <v>42417</v>
      </c>
      <c r="F317" s="75" t="s">
        <v>461</v>
      </c>
      <c r="G317" s="72"/>
      <c r="H317" s="49" t="s">
        <v>212</v>
      </c>
      <c r="I317" s="49" t="s">
        <v>138</v>
      </c>
      <c r="J317" s="76">
        <v>-4258.75</v>
      </c>
      <c r="K317" s="83" t="str">
        <f>IFERROR(IFERROR(VLOOKUP(I317,'DE-PARA'!B:D,3,0),VLOOKUP(I317,'DE-PARA'!C:D,2,0)),"NÃO ENCONTRADO")</f>
        <v>Serviços</v>
      </c>
      <c r="L317" s="50" t="str">
        <f>VLOOKUP(K317,'Base -Receita-Despesa'!$B:$P,1,FALSE)</f>
        <v>Serviços</v>
      </c>
    </row>
    <row r="318" spans="1:12" ht="15" customHeight="1" x14ac:dyDescent="0.3">
      <c r="A318" s="82" t="str">
        <f t="shared" si="8"/>
        <v>2016</v>
      </c>
      <c r="B318" s="72" t="s">
        <v>131</v>
      </c>
      <c r="C318" s="73" t="s">
        <v>132</v>
      </c>
      <c r="D318" s="74" t="str">
        <f t="shared" si="9"/>
        <v>fev/2016</v>
      </c>
      <c r="E318" s="53">
        <v>42417</v>
      </c>
      <c r="F318" s="75" t="s">
        <v>462</v>
      </c>
      <c r="G318" s="72"/>
      <c r="H318" s="49" t="s">
        <v>212</v>
      </c>
      <c r="I318" s="49" t="s">
        <v>138</v>
      </c>
      <c r="J318" s="76">
        <v>-216</v>
      </c>
      <c r="K318" s="83" t="str">
        <f>IFERROR(IFERROR(VLOOKUP(I318,'DE-PARA'!B:D,3,0),VLOOKUP(I318,'DE-PARA'!C:D,2,0)),"NÃO ENCONTRADO")</f>
        <v>Serviços</v>
      </c>
      <c r="L318" s="50" t="str">
        <f>VLOOKUP(K318,'Base -Receita-Despesa'!$B:$P,1,FALSE)</f>
        <v>Serviços</v>
      </c>
    </row>
    <row r="319" spans="1:12" ht="15" customHeight="1" x14ac:dyDescent="0.3">
      <c r="A319" s="82" t="str">
        <f t="shared" si="8"/>
        <v>2016</v>
      </c>
      <c r="B319" s="72" t="s">
        <v>131</v>
      </c>
      <c r="C319" s="73" t="s">
        <v>132</v>
      </c>
      <c r="D319" s="74" t="str">
        <f t="shared" si="9"/>
        <v>fev/2016</v>
      </c>
      <c r="E319" s="53">
        <v>42417</v>
      </c>
      <c r="F319" s="75" t="s">
        <v>463</v>
      </c>
      <c r="G319" s="72"/>
      <c r="H319" s="49" t="s">
        <v>227</v>
      </c>
      <c r="I319" s="49" t="s">
        <v>171</v>
      </c>
      <c r="J319" s="76">
        <v>-414</v>
      </c>
      <c r="K319" s="83" t="str">
        <f>IFERROR(IFERROR(VLOOKUP(I319,'DE-PARA'!B:D,3,0),VLOOKUP(I319,'DE-PARA'!C:D,2,0)),"NÃO ENCONTRADO")</f>
        <v>Serviços</v>
      </c>
      <c r="L319" s="50" t="str">
        <f>VLOOKUP(K319,'Base -Receita-Despesa'!$B:$P,1,FALSE)</f>
        <v>Serviços</v>
      </c>
    </row>
    <row r="320" spans="1:12" ht="15" customHeight="1" x14ac:dyDescent="0.3">
      <c r="A320" s="82" t="str">
        <f t="shared" si="8"/>
        <v>2016</v>
      </c>
      <c r="B320" s="72" t="s">
        <v>131</v>
      </c>
      <c r="C320" s="73" t="s">
        <v>132</v>
      </c>
      <c r="D320" s="74" t="str">
        <f t="shared" si="9"/>
        <v>fev/2016</v>
      </c>
      <c r="E320" s="53">
        <v>42417</v>
      </c>
      <c r="F320" s="75" t="s">
        <v>464</v>
      </c>
      <c r="G320" s="72"/>
      <c r="H320" s="49" t="s">
        <v>215</v>
      </c>
      <c r="I320" s="49" t="s">
        <v>167</v>
      </c>
      <c r="J320" s="76">
        <v>-552.70000000000005</v>
      </c>
      <c r="K320" s="83" t="str">
        <f>IFERROR(IFERROR(VLOOKUP(I320,'DE-PARA'!B:D,3,0),VLOOKUP(I320,'DE-PARA'!C:D,2,0)),"NÃO ENCONTRADO")</f>
        <v>Materiais</v>
      </c>
      <c r="L320" s="50" t="str">
        <f>VLOOKUP(K320,'Base -Receita-Despesa'!$B:$P,1,FALSE)</f>
        <v>Materiais</v>
      </c>
    </row>
    <row r="321" spans="1:12" ht="15" customHeight="1" x14ac:dyDescent="0.3">
      <c r="A321" s="82" t="str">
        <f t="shared" si="8"/>
        <v>2016</v>
      </c>
      <c r="B321" s="72" t="s">
        <v>131</v>
      </c>
      <c r="C321" s="73" t="s">
        <v>132</v>
      </c>
      <c r="D321" s="74" t="str">
        <f t="shared" si="9"/>
        <v>fev/2016</v>
      </c>
      <c r="E321" s="53">
        <v>42417</v>
      </c>
      <c r="F321" s="75" t="s">
        <v>465</v>
      </c>
      <c r="G321" s="72"/>
      <c r="H321" s="49" t="s">
        <v>172</v>
      </c>
      <c r="I321" s="49" t="s">
        <v>173</v>
      </c>
      <c r="J321" s="76">
        <v>-12958.91</v>
      </c>
      <c r="K321" s="83" t="str">
        <f>IFERROR(IFERROR(VLOOKUP(I321,'DE-PARA'!B:D,3,0),VLOOKUP(I321,'DE-PARA'!C:D,2,0)),"NÃO ENCONTRADO")</f>
        <v>Serviços</v>
      </c>
      <c r="L321" s="50" t="str">
        <f>VLOOKUP(K321,'Base -Receita-Despesa'!$B:$P,1,FALSE)</f>
        <v>Serviços</v>
      </c>
    </row>
    <row r="322" spans="1:12" ht="15" customHeight="1" x14ac:dyDescent="0.3">
      <c r="A322" s="82" t="str">
        <f t="shared" si="8"/>
        <v>2016</v>
      </c>
      <c r="B322" s="72" t="s">
        <v>131</v>
      </c>
      <c r="C322" s="73" t="s">
        <v>132</v>
      </c>
      <c r="D322" s="74" t="str">
        <f t="shared" si="9"/>
        <v>fev/2016</v>
      </c>
      <c r="E322" s="53">
        <v>42417</v>
      </c>
      <c r="F322" s="75" t="s">
        <v>466</v>
      </c>
      <c r="G322" s="72"/>
      <c r="H322" s="49" t="s">
        <v>172</v>
      </c>
      <c r="I322" s="49" t="s">
        <v>173</v>
      </c>
      <c r="J322" s="76">
        <v>-15314.55</v>
      </c>
      <c r="K322" s="83" t="str">
        <f>IFERROR(IFERROR(VLOOKUP(I322,'DE-PARA'!B:D,3,0),VLOOKUP(I322,'DE-PARA'!C:D,2,0)),"NÃO ENCONTRADO")</f>
        <v>Serviços</v>
      </c>
      <c r="L322" s="50" t="str">
        <f>VLOOKUP(K322,'Base -Receita-Despesa'!$B:$P,1,FALSE)</f>
        <v>Serviços</v>
      </c>
    </row>
    <row r="323" spans="1:12" ht="15" customHeight="1" x14ac:dyDescent="0.3">
      <c r="A323" s="82" t="str">
        <f t="shared" si="8"/>
        <v>2016</v>
      </c>
      <c r="B323" s="72" t="s">
        <v>131</v>
      </c>
      <c r="C323" s="73" t="s">
        <v>132</v>
      </c>
      <c r="D323" s="74" t="str">
        <f t="shared" si="9"/>
        <v>fev/2016</v>
      </c>
      <c r="E323" s="53">
        <v>42417</v>
      </c>
      <c r="F323" s="75" t="s">
        <v>133</v>
      </c>
      <c r="G323" s="72"/>
      <c r="H323" s="49" t="s">
        <v>407</v>
      </c>
      <c r="I323" s="49" t="s">
        <v>135</v>
      </c>
      <c r="J323" s="76">
        <v>-152.16</v>
      </c>
      <c r="K323" s="83" t="str">
        <f>IFERROR(IFERROR(VLOOKUP(I323,'DE-PARA'!B:D,3,0),VLOOKUP(I323,'DE-PARA'!C:D,2,0)),"NÃO ENCONTRADO")</f>
        <v>Pessoal</v>
      </c>
      <c r="L323" s="50" t="str">
        <f>VLOOKUP(K323,'Base -Receita-Despesa'!$B:$P,1,FALSE)</f>
        <v>Pessoal</v>
      </c>
    </row>
    <row r="324" spans="1:12" ht="15" customHeight="1" x14ac:dyDescent="0.3">
      <c r="A324" s="82" t="str">
        <f t="shared" ref="A324:A387" si="10">IF(K324="NÃO ENCONTRADO",0,RIGHT(D324,4))</f>
        <v>2016</v>
      </c>
      <c r="B324" s="72" t="s">
        <v>131</v>
      </c>
      <c r="C324" s="73" t="s">
        <v>132</v>
      </c>
      <c r="D324" s="74" t="str">
        <f t="shared" ref="D324:D387" si="11">TEXT(E324,"mmm/aaaa")</f>
        <v>fev/2016</v>
      </c>
      <c r="E324" s="53">
        <v>42417</v>
      </c>
      <c r="F324" s="75" t="s">
        <v>1491</v>
      </c>
      <c r="G324" s="72"/>
      <c r="H324" s="49" t="s">
        <v>187</v>
      </c>
      <c r="I324" s="49" t="s">
        <v>159</v>
      </c>
      <c r="J324" s="76">
        <v>-55.51</v>
      </c>
      <c r="K324" s="83" t="str">
        <f>IFERROR(IFERROR(VLOOKUP(I324,'DE-PARA'!B:D,3,0),VLOOKUP(I324,'DE-PARA'!C:D,2,0)),"NÃO ENCONTRADO")</f>
        <v>Materiais</v>
      </c>
      <c r="L324" s="50" t="str">
        <f>VLOOKUP(K324,'Base -Receita-Despesa'!$B:$P,1,FALSE)</f>
        <v>Materiais</v>
      </c>
    </row>
    <row r="325" spans="1:12" ht="15" customHeight="1" x14ac:dyDescent="0.3">
      <c r="A325" s="82" t="str">
        <f t="shared" si="10"/>
        <v>2016</v>
      </c>
      <c r="B325" s="72" t="s">
        <v>131</v>
      </c>
      <c r="C325" s="73" t="s">
        <v>132</v>
      </c>
      <c r="D325" s="74" t="str">
        <f t="shared" si="11"/>
        <v>fev/2016</v>
      </c>
      <c r="E325" s="53">
        <v>42418</v>
      </c>
      <c r="F325" s="75" t="s">
        <v>228</v>
      </c>
      <c r="G325" s="72"/>
      <c r="H325" s="49" t="s">
        <v>187</v>
      </c>
      <c r="I325" s="49" t="s">
        <v>110</v>
      </c>
      <c r="J325" s="76">
        <v>-2700</v>
      </c>
      <c r="K325" s="83" t="str">
        <f>IFERROR(IFERROR(VLOOKUP(I325,'DE-PARA'!B:D,3,0),VLOOKUP(I325,'DE-PARA'!C:D,2,0)),"NÃO ENCONTRADO")</f>
        <v>Serviços</v>
      </c>
      <c r="L325" s="50" t="str">
        <f>VLOOKUP(K325,'Base -Receita-Despesa'!$B:$P,1,FALSE)</f>
        <v>Serviços</v>
      </c>
    </row>
    <row r="326" spans="1:12" ht="15" customHeight="1" x14ac:dyDescent="0.3">
      <c r="A326" s="82" t="str">
        <f t="shared" si="10"/>
        <v>2016</v>
      </c>
      <c r="B326" s="72" t="s">
        <v>131</v>
      </c>
      <c r="C326" s="73" t="s">
        <v>132</v>
      </c>
      <c r="D326" s="74" t="str">
        <f t="shared" si="11"/>
        <v>fev/2016</v>
      </c>
      <c r="E326" s="53">
        <v>42418</v>
      </c>
      <c r="F326" s="75" t="s">
        <v>467</v>
      </c>
      <c r="G326" s="72"/>
      <c r="H326" s="49" t="s">
        <v>193</v>
      </c>
      <c r="I326" s="49" t="s">
        <v>194</v>
      </c>
      <c r="J326" s="76">
        <v>-234.6</v>
      </c>
      <c r="K326" s="83" t="str">
        <f>IFERROR(IFERROR(VLOOKUP(I326,'DE-PARA'!B:D,3,0),VLOOKUP(I326,'DE-PARA'!C:D,2,0)),"NÃO ENCONTRADO")</f>
        <v>Despesas com Viagens</v>
      </c>
      <c r="L326" s="50" t="str">
        <f>VLOOKUP(K326,'Base -Receita-Despesa'!$B:$P,1,FALSE)</f>
        <v>Despesas com Viagens</v>
      </c>
    </row>
    <row r="327" spans="1:12" ht="15" customHeight="1" x14ac:dyDescent="0.3">
      <c r="A327" s="82" t="str">
        <f t="shared" si="10"/>
        <v>2016</v>
      </c>
      <c r="B327" s="72" t="s">
        <v>131</v>
      </c>
      <c r="C327" s="73" t="s">
        <v>132</v>
      </c>
      <c r="D327" s="74" t="str">
        <f t="shared" si="11"/>
        <v>fev/2016</v>
      </c>
      <c r="E327" s="53">
        <v>42418</v>
      </c>
      <c r="F327" s="75" t="s">
        <v>468</v>
      </c>
      <c r="G327" s="72"/>
      <c r="H327" s="49" t="s">
        <v>193</v>
      </c>
      <c r="I327" s="49" t="s">
        <v>194</v>
      </c>
      <c r="J327" s="76">
        <v>-860.2</v>
      </c>
      <c r="K327" s="83" t="str">
        <f>IFERROR(IFERROR(VLOOKUP(I327,'DE-PARA'!B:D,3,0),VLOOKUP(I327,'DE-PARA'!C:D,2,0)),"NÃO ENCONTRADO")</f>
        <v>Despesas com Viagens</v>
      </c>
      <c r="L327" s="50" t="str">
        <f>VLOOKUP(K327,'Base -Receita-Despesa'!$B:$P,1,FALSE)</f>
        <v>Despesas com Viagens</v>
      </c>
    </row>
    <row r="328" spans="1:12" ht="15" customHeight="1" x14ac:dyDescent="0.3">
      <c r="A328" s="82" t="str">
        <f t="shared" si="10"/>
        <v>2016</v>
      </c>
      <c r="B328" s="72" t="s">
        <v>131</v>
      </c>
      <c r="C328" s="73" t="s">
        <v>132</v>
      </c>
      <c r="D328" s="74" t="str">
        <f t="shared" si="11"/>
        <v>fev/2016</v>
      </c>
      <c r="E328" s="53">
        <v>42418</v>
      </c>
      <c r="F328" s="75" t="s">
        <v>469</v>
      </c>
      <c r="G328" s="72"/>
      <c r="H328" s="49" t="s">
        <v>193</v>
      </c>
      <c r="I328" s="49" t="s">
        <v>194</v>
      </c>
      <c r="J328" s="76">
        <v>-507.15</v>
      </c>
      <c r="K328" s="83" t="str">
        <f>IFERROR(IFERROR(VLOOKUP(I328,'DE-PARA'!B:D,3,0),VLOOKUP(I328,'DE-PARA'!C:D,2,0)),"NÃO ENCONTRADO")</f>
        <v>Despesas com Viagens</v>
      </c>
      <c r="L328" s="50" t="str">
        <f>VLOOKUP(K328,'Base -Receita-Despesa'!$B:$P,1,FALSE)</f>
        <v>Despesas com Viagens</v>
      </c>
    </row>
    <row r="329" spans="1:12" ht="15" customHeight="1" x14ac:dyDescent="0.3">
      <c r="A329" s="82" t="str">
        <f t="shared" si="10"/>
        <v>2016</v>
      </c>
      <c r="B329" s="72" t="s">
        <v>131</v>
      </c>
      <c r="C329" s="73" t="s">
        <v>132</v>
      </c>
      <c r="D329" s="74" t="str">
        <f t="shared" si="11"/>
        <v>fev/2016</v>
      </c>
      <c r="E329" s="53">
        <v>42418</v>
      </c>
      <c r="F329" s="75" t="s">
        <v>154</v>
      </c>
      <c r="G329" s="72"/>
      <c r="H329" s="49" t="s">
        <v>154</v>
      </c>
      <c r="I329" s="49" t="s">
        <v>1497</v>
      </c>
      <c r="J329" s="76">
        <v>90919.21</v>
      </c>
      <c r="K329" s="83" t="str">
        <f>IFERROR(IFERROR(VLOOKUP(I329,'DE-PARA'!B:D,3,0),VLOOKUP(I329,'DE-PARA'!C:D,2,0)),"NÃO ENCONTRADO")</f>
        <v>Repasses Contrato de Gestão</v>
      </c>
      <c r="L329" s="50" t="str">
        <f>VLOOKUP(K329,'Base -Receita-Despesa'!$B:$P,1,FALSE)</f>
        <v>Repasses Contrato de Gestão</v>
      </c>
    </row>
    <row r="330" spans="1:12" ht="15" customHeight="1" x14ac:dyDescent="0.3">
      <c r="A330" s="82" t="str">
        <f t="shared" si="10"/>
        <v>2016</v>
      </c>
      <c r="B330" s="72" t="s">
        <v>131</v>
      </c>
      <c r="C330" s="73" t="s">
        <v>132</v>
      </c>
      <c r="D330" s="74" t="str">
        <f t="shared" si="11"/>
        <v>fev/2016</v>
      </c>
      <c r="E330" s="53">
        <v>42418</v>
      </c>
      <c r="F330" s="75" t="s">
        <v>154</v>
      </c>
      <c r="G330" s="72"/>
      <c r="H330" s="49" t="s">
        <v>154</v>
      </c>
      <c r="I330" s="49" t="s">
        <v>1497</v>
      </c>
      <c r="J330" s="76">
        <v>100118.04</v>
      </c>
      <c r="K330" s="83" t="str">
        <f>IFERROR(IFERROR(VLOOKUP(I330,'DE-PARA'!B:D,3,0),VLOOKUP(I330,'DE-PARA'!C:D,2,0)),"NÃO ENCONTRADO")</f>
        <v>Repasses Contrato de Gestão</v>
      </c>
      <c r="L330" s="50" t="str">
        <f>VLOOKUP(K330,'Base -Receita-Despesa'!$B:$P,1,FALSE)</f>
        <v>Repasses Contrato de Gestão</v>
      </c>
    </row>
    <row r="331" spans="1:12" ht="15" customHeight="1" x14ac:dyDescent="0.3">
      <c r="A331" s="82" t="str">
        <f t="shared" si="10"/>
        <v>2016</v>
      </c>
      <c r="B331" s="72" t="s">
        <v>131</v>
      </c>
      <c r="C331" s="73" t="s">
        <v>132</v>
      </c>
      <c r="D331" s="74" t="str">
        <f t="shared" si="11"/>
        <v>fev/2016</v>
      </c>
      <c r="E331" s="53">
        <v>42418</v>
      </c>
      <c r="F331" s="75" t="s">
        <v>470</v>
      </c>
      <c r="G331" s="72"/>
      <c r="H331" s="49" t="s">
        <v>471</v>
      </c>
      <c r="I331" s="49" t="s">
        <v>112</v>
      </c>
      <c r="J331" s="76">
        <v>-730</v>
      </c>
      <c r="K331" s="83" t="str">
        <f>IFERROR(IFERROR(VLOOKUP(I331,'DE-PARA'!B:D,3,0),VLOOKUP(I331,'DE-PARA'!C:D,2,0)),"NÃO ENCONTRADO")</f>
        <v>Serviços</v>
      </c>
      <c r="L331" s="50" t="str">
        <f>VLOOKUP(K331,'Base -Receita-Despesa'!$B:$P,1,FALSE)</f>
        <v>Serviços</v>
      </c>
    </row>
    <row r="332" spans="1:12" ht="15" customHeight="1" x14ac:dyDescent="0.3">
      <c r="A332" s="82" t="str">
        <f t="shared" si="10"/>
        <v>2016</v>
      </c>
      <c r="B332" s="72" t="s">
        <v>131</v>
      </c>
      <c r="C332" s="73" t="s">
        <v>132</v>
      </c>
      <c r="D332" s="74" t="str">
        <f t="shared" si="11"/>
        <v>fev/2016</v>
      </c>
      <c r="E332" s="53">
        <v>42418</v>
      </c>
      <c r="F332" s="75" t="s">
        <v>164</v>
      </c>
      <c r="G332" s="72"/>
      <c r="H332" s="49" t="s">
        <v>397</v>
      </c>
      <c r="I332" s="49" t="s">
        <v>168</v>
      </c>
      <c r="J332" s="76">
        <v>-201.43</v>
      </c>
      <c r="K332" s="83" t="str">
        <f>IFERROR(IFERROR(VLOOKUP(I332,'DE-PARA'!B:D,3,0),VLOOKUP(I332,'DE-PARA'!C:D,2,0)),"NÃO ENCONTRADO")</f>
        <v>Pessoal</v>
      </c>
      <c r="L332" s="50" t="str">
        <f>VLOOKUP(K332,'Base -Receita-Despesa'!$B:$P,1,FALSE)</f>
        <v>Pessoal</v>
      </c>
    </row>
    <row r="333" spans="1:12" ht="15" customHeight="1" x14ac:dyDescent="0.3">
      <c r="A333" s="82" t="str">
        <f t="shared" si="10"/>
        <v>2016</v>
      </c>
      <c r="B333" s="72" t="s">
        <v>131</v>
      </c>
      <c r="C333" s="73" t="s">
        <v>132</v>
      </c>
      <c r="D333" s="74" t="str">
        <f t="shared" si="11"/>
        <v>fev/2016</v>
      </c>
      <c r="E333" s="53">
        <v>42418</v>
      </c>
      <c r="F333" s="75" t="s">
        <v>136</v>
      </c>
      <c r="G333" s="72"/>
      <c r="H333" s="49" t="s">
        <v>149</v>
      </c>
      <c r="I333" s="49" t="s">
        <v>129</v>
      </c>
      <c r="J333" s="76">
        <v>-7.85</v>
      </c>
      <c r="K333" s="83" t="str">
        <f>IFERROR(IFERROR(VLOOKUP(I333,'DE-PARA'!B:D,3,0),VLOOKUP(I333,'DE-PARA'!C:D,2,0)),"NÃO ENCONTRADO")</f>
        <v>Outras Saídas</v>
      </c>
      <c r="L333" s="50" t="str">
        <f>VLOOKUP(K333,'Base -Receita-Despesa'!$B:$P,1,FALSE)</f>
        <v>Outras Saídas</v>
      </c>
    </row>
    <row r="334" spans="1:12" ht="15" customHeight="1" x14ac:dyDescent="0.3">
      <c r="A334" s="82" t="str">
        <f t="shared" si="10"/>
        <v>2016</v>
      </c>
      <c r="B334" s="72" t="s">
        <v>131</v>
      </c>
      <c r="C334" s="73" t="s">
        <v>132</v>
      </c>
      <c r="D334" s="74" t="str">
        <f t="shared" si="11"/>
        <v>fev/2016</v>
      </c>
      <c r="E334" s="53">
        <v>42418</v>
      </c>
      <c r="F334" s="75" t="s">
        <v>472</v>
      </c>
      <c r="G334" s="72"/>
      <c r="H334" s="49" t="s">
        <v>220</v>
      </c>
      <c r="I334" s="49" t="s">
        <v>180</v>
      </c>
      <c r="J334" s="76">
        <v>-4500</v>
      </c>
      <c r="K334" s="83" t="str">
        <f>IFERROR(IFERROR(VLOOKUP(I334,'DE-PARA'!B:D,3,0),VLOOKUP(I334,'DE-PARA'!C:D,2,0)),"NÃO ENCONTRADO")</f>
        <v>Serviços</v>
      </c>
      <c r="L334" s="50" t="str">
        <f>VLOOKUP(K334,'Base -Receita-Despesa'!$B:$P,1,FALSE)</f>
        <v>Serviços</v>
      </c>
    </row>
    <row r="335" spans="1:12" ht="15" customHeight="1" x14ac:dyDescent="0.3">
      <c r="A335" s="82" t="str">
        <f t="shared" si="10"/>
        <v>2016</v>
      </c>
      <c r="B335" s="72" t="s">
        <v>131</v>
      </c>
      <c r="C335" s="73" t="s">
        <v>132</v>
      </c>
      <c r="D335" s="74" t="str">
        <f t="shared" si="11"/>
        <v>fev/2016</v>
      </c>
      <c r="E335" s="53">
        <v>42418</v>
      </c>
      <c r="F335" s="75" t="s">
        <v>184</v>
      </c>
      <c r="G335" s="72"/>
      <c r="H335" s="49" t="s">
        <v>473</v>
      </c>
      <c r="I335" s="49" t="s">
        <v>113</v>
      </c>
      <c r="J335" s="76">
        <v>-10945</v>
      </c>
      <c r="K335" s="83" t="str">
        <f>IFERROR(IFERROR(VLOOKUP(I335,'DE-PARA'!B:D,3,0),VLOOKUP(I335,'DE-PARA'!C:D,2,0)),"NÃO ENCONTRADO")</f>
        <v>Serviços</v>
      </c>
      <c r="L335" s="50" t="str">
        <f>VLOOKUP(K335,'Base -Receita-Despesa'!$B:$P,1,FALSE)</f>
        <v>Serviços</v>
      </c>
    </row>
    <row r="336" spans="1:12" ht="15" customHeight="1" x14ac:dyDescent="0.3">
      <c r="A336" s="82" t="str">
        <f t="shared" si="10"/>
        <v>2016</v>
      </c>
      <c r="B336" s="72" t="s">
        <v>131</v>
      </c>
      <c r="C336" s="73" t="s">
        <v>132</v>
      </c>
      <c r="D336" s="74" t="str">
        <f t="shared" si="11"/>
        <v>fev/2016</v>
      </c>
      <c r="E336" s="53">
        <v>42418</v>
      </c>
      <c r="F336" s="75" t="s">
        <v>184</v>
      </c>
      <c r="G336" s="72"/>
      <c r="H336" s="49" t="s">
        <v>474</v>
      </c>
      <c r="I336" s="49" t="s">
        <v>180</v>
      </c>
      <c r="J336" s="76">
        <v>-4389</v>
      </c>
      <c r="K336" s="83" t="str">
        <f>IFERROR(IFERROR(VLOOKUP(I336,'DE-PARA'!B:D,3,0),VLOOKUP(I336,'DE-PARA'!C:D,2,0)),"NÃO ENCONTRADO")</f>
        <v>Serviços</v>
      </c>
      <c r="L336" s="50" t="str">
        <f>VLOOKUP(K336,'Base -Receita-Despesa'!$B:$P,1,FALSE)</f>
        <v>Serviços</v>
      </c>
    </row>
    <row r="337" spans="1:12" ht="15" customHeight="1" x14ac:dyDescent="0.3">
      <c r="A337" s="82" t="str">
        <f t="shared" si="10"/>
        <v>2016</v>
      </c>
      <c r="B337" s="72" t="s">
        <v>131</v>
      </c>
      <c r="C337" s="73" t="s">
        <v>132</v>
      </c>
      <c r="D337" s="74" t="str">
        <f t="shared" si="11"/>
        <v>fev/2016</v>
      </c>
      <c r="E337" s="53">
        <v>42418</v>
      </c>
      <c r="F337" s="75" t="s">
        <v>184</v>
      </c>
      <c r="G337" s="72"/>
      <c r="H337" s="49" t="s">
        <v>475</v>
      </c>
      <c r="I337" s="49" t="s">
        <v>171</v>
      </c>
      <c r="J337" s="76">
        <v>-343.46</v>
      </c>
      <c r="K337" s="83" t="str">
        <f>IFERROR(IFERROR(VLOOKUP(I337,'DE-PARA'!B:D,3,0),VLOOKUP(I337,'DE-PARA'!C:D,2,0)),"NÃO ENCONTRADO")</f>
        <v>Serviços</v>
      </c>
      <c r="L337" s="50" t="str">
        <f>VLOOKUP(K337,'Base -Receita-Despesa'!$B:$P,1,FALSE)</f>
        <v>Serviços</v>
      </c>
    </row>
    <row r="338" spans="1:12" ht="15" customHeight="1" x14ac:dyDescent="0.3">
      <c r="A338" s="82" t="str">
        <f t="shared" si="10"/>
        <v>2016</v>
      </c>
      <c r="B338" s="72" t="s">
        <v>131</v>
      </c>
      <c r="C338" s="73" t="s">
        <v>132</v>
      </c>
      <c r="D338" s="74" t="str">
        <f t="shared" si="11"/>
        <v>fev/2016</v>
      </c>
      <c r="E338" s="53">
        <v>42418</v>
      </c>
      <c r="F338" s="75" t="s">
        <v>184</v>
      </c>
      <c r="G338" s="72"/>
      <c r="H338" s="49" t="s">
        <v>476</v>
      </c>
      <c r="I338" s="49" t="s">
        <v>173</v>
      </c>
      <c r="J338" s="76">
        <v>-2123</v>
      </c>
      <c r="K338" s="83" t="str">
        <f>IFERROR(IFERROR(VLOOKUP(I338,'DE-PARA'!B:D,3,0),VLOOKUP(I338,'DE-PARA'!C:D,2,0)),"NÃO ENCONTRADO")</f>
        <v>Serviços</v>
      </c>
      <c r="L338" s="50" t="str">
        <f>VLOOKUP(K338,'Base -Receita-Despesa'!$B:$P,1,FALSE)</f>
        <v>Serviços</v>
      </c>
    </row>
    <row r="339" spans="1:12" ht="15" customHeight="1" x14ac:dyDescent="0.3">
      <c r="A339" s="82" t="str">
        <f t="shared" si="10"/>
        <v>2016</v>
      </c>
      <c r="B339" s="72" t="s">
        <v>131</v>
      </c>
      <c r="C339" s="73" t="s">
        <v>132</v>
      </c>
      <c r="D339" s="74" t="str">
        <f t="shared" si="11"/>
        <v>fev/2016</v>
      </c>
      <c r="E339" s="53">
        <v>42418</v>
      </c>
      <c r="F339" s="75" t="s">
        <v>359</v>
      </c>
      <c r="G339" s="72"/>
      <c r="H339" s="49" t="s">
        <v>222</v>
      </c>
      <c r="I339" s="49" t="s">
        <v>223</v>
      </c>
      <c r="J339" s="76">
        <v>-1928.66</v>
      </c>
      <c r="K339" s="83" t="str">
        <f>IFERROR(IFERROR(VLOOKUP(I339,'DE-PARA'!B:D,3,0),VLOOKUP(I339,'DE-PARA'!C:D,2,0)),"NÃO ENCONTRADO")</f>
        <v>Materiais</v>
      </c>
      <c r="L339" s="50" t="str">
        <f>VLOOKUP(K339,'Base -Receita-Despesa'!$B:$P,1,FALSE)</f>
        <v>Materiais</v>
      </c>
    </row>
    <row r="340" spans="1:12" ht="15" customHeight="1" x14ac:dyDescent="0.3">
      <c r="A340" s="82" t="str">
        <f t="shared" si="10"/>
        <v>2016</v>
      </c>
      <c r="B340" s="72" t="s">
        <v>131</v>
      </c>
      <c r="C340" s="73" t="s">
        <v>132</v>
      </c>
      <c r="D340" s="74" t="str">
        <f t="shared" si="11"/>
        <v>fev/2016</v>
      </c>
      <c r="E340" s="53">
        <v>42418</v>
      </c>
      <c r="F340" s="75" t="s">
        <v>174</v>
      </c>
      <c r="G340" s="72"/>
      <c r="H340" s="49" t="s">
        <v>477</v>
      </c>
      <c r="I340" s="49" t="s">
        <v>171</v>
      </c>
      <c r="J340" s="76">
        <v>-312.23</v>
      </c>
      <c r="K340" s="83" t="str">
        <f>IFERROR(IFERROR(VLOOKUP(I340,'DE-PARA'!B:D,3,0),VLOOKUP(I340,'DE-PARA'!C:D,2,0)),"NÃO ENCONTRADO")</f>
        <v>Serviços</v>
      </c>
      <c r="L340" s="50" t="str">
        <f>VLOOKUP(K340,'Base -Receita-Despesa'!$B:$P,1,FALSE)</f>
        <v>Serviços</v>
      </c>
    </row>
    <row r="341" spans="1:12" ht="15" customHeight="1" x14ac:dyDescent="0.3">
      <c r="A341" s="82" t="str">
        <f t="shared" si="10"/>
        <v>2016</v>
      </c>
      <c r="B341" s="72" t="s">
        <v>131</v>
      </c>
      <c r="C341" s="73" t="s">
        <v>132</v>
      </c>
      <c r="D341" s="74" t="str">
        <f t="shared" si="11"/>
        <v>fev/2016</v>
      </c>
      <c r="E341" s="53">
        <v>42418</v>
      </c>
      <c r="F341" s="75" t="s">
        <v>174</v>
      </c>
      <c r="G341" s="72"/>
      <c r="H341" s="49" t="s">
        <v>478</v>
      </c>
      <c r="I341" s="49" t="s">
        <v>171</v>
      </c>
      <c r="J341" s="76">
        <v>-944.9</v>
      </c>
      <c r="K341" s="83" t="str">
        <f>IFERROR(IFERROR(VLOOKUP(I341,'DE-PARA'!B:D,3,0),VLOOKUP(I341,'DE-PARA'!C:D,2,0)),"NÃO ENCONTRADO")</f>
        <v>Serviços</v>
      </c>
      <c r="L341" s="50" t="str">
        <f>VLOOKUP(K341,'Base -Receita-Despesa'!$B:$P,1,FALSE)</f>
        <v>Serviços</v>
      </c>
    </row>
    <row r="342" spans="1:12" ht="15" customHeight="1" x14ac:dyDescent="0.3">
      <c r="A342" s="82" t="str">
        <f t="shared" si="10"/>
        <v>2016</v>
      </c>
      <c r="B342" s="72" t="s">
        <v>131</v>
      </c>
      <c r="C342" s="73" t="s">
        <v>132</v>
      </c>
      <c r="D342" s="74" t="str">
        <f t="shared" si="11"/>
        <v>fev/2016</v>
      </c>
      <c r="E342" s="53">
        <v>42418</v>
      </c>
      <c r="F342" s="75" t="s">
        <v>174</v>
      </c>
      <c r="G342" s="72"/>
      <c r="H342" s="49" t="s">
        <v>479</v>
      </c>
      <c r="I342" s="49" t="s">
        <v>191</v>
      </c>
      <c r="J342" s="76">
        <v>-51</v>
      </c>
      <c r="K342" s="83" t="str">
        <f>IFERROR(IFERROR(VLOOKUP(I342,'DE-PARA'!B:D,3,0),VLOOKUP(I342,'DE-PARA'!C:D,2,0)),"NÃO ENCONTRADO")</f>
        <v>Serviços</v>
      </c>
      <c r="L342" s="50" t="str">
        <f>VLOOKUP(K342,'Base -Receita-Despesa'!$B:$P,1,FALSE)</f>
        <v>Serviços</v>
      </c>
    </row>
    <row r="343" spans="1:12" ht="15" customHeight="1" x14ac:dyDescent="0.3">
      <c r="A343" s="82" t="str">
        <f t="shared" si="10"/>
        <v>2016</v>
      </c>
      <c r="B343" s="72" t="s">
        <v>131</v>
      </c>
      <c r="C343" s="73" t="s">
        <v>132</v>
      </c>
      <c r="D343" s="74" t="str">
        <f t="shared" si="11"/>
        <v>fev/2016</v>
      </c>
      <c r="E343" s="53">
        <v>42418</v>
      </c>
      <c r="F343" s="75" t="s">
        <v>174</v>
      </c>
      <c r="G343" s="72"/>
      <c r="H343" s="49" t="s">
        <v>480</v>
      </c>
      <c r="I343" s="49" t="s">
        <v>112</v>
      </c>
      <c r="J343" s="76">
        <v>-1919.42</v>
      </c>
      <c r="K343" s="83" t="str">
        <f>IFERROR(IFERROR(VLOOKUP(I343,'DE-PARA'!B:D,3,0),VLOOKUP(I343,'DE-PARA'!C:D,2,0)),"NÃO ENCONTRADO")</f>
        <v>Serviços</v>
      </c>
      <c r="L343" s="50" t="str">
        <f>VLOOKUP(K343,'Base -Receita-Despesa'!$B:$P,1,FALSE)</f>
        <v>Serviços</v>
      </c>
    </row>
    <row r="344" spans="1:12" ht="15" customHeight="1" x14ac:dyDescent="0.3">
      <c r="A344" s="82" t="str">
        <f t="shared" si="10"/>
        <v>2016</v>
      </c>
      <c r="B344" s="72" t="s">
        <v>131</v>
      </c>
      <c r="C344" s="73" t="s">
        <v>132</v>
      </c>
      <c r="D344" s="74" t="str">
        <f t="shared" si="11"/>
        <v>fev/2016</v>
      </c>
      <c r="E344" s="53">
        <v>42418</v>
      </c>
      <c r="F344" s="75" t="s">
        <v>174</v>
      </c>
      <c r="G344" s="72"/>
      <c r="H344" s="49" t="s">
        <v>481</v>
      </c>
      <c r="I344" s="49" t="s">
        <v>113</v>
      </c>
      <c r="J344" s="76">
        <v>-995</v>
      </c>
      <c r="K344" s="83" t="str">
        <f>IFERROR(IFERROR(VLOOKUP(I344,'DE-PARA'!B:D,3,0),VLOOKUP(I344,'DE-PARA'!C:D,2,0)),"NÃO ENCONTRADO")</f>
        <v>Serviços</v>
      </c>
      <c r="L344" s="50" t="str">
        <f>VLOOKUP(K344,'Base -Receita-Despesa'!$B:$P,1,FALSE)</f>
        <v>Serviços</v>
      </c>
    </row>
    <row r="345" spans="1:12" ht="15" customHeight="1" x14ac:dyDescent="0.3">
      <c r="A345" s="82" t="str">
        <f t="shared" si="10"/>
        <v>2016</v>
      </c>
      <c r="B345" s="72" t="s">
        <v>131</v>
      </c>
      <c r="C345" s="73" t="s">
        <v>132</v>
      </c>
      <c r="D345" s="74" t="str">
        <f t="shared" si="11"/>
        <v>fev/2016</v>
      </c>
      <c r="E345" s="53">
        <v>42418</v>
      </c>
      <c r="F345" s="75" t="s">
        <v>174</v>
      </c>
      <c r="G345" s="72"/>
      <c r="H345" s="49" t="s">
        <v>482</v>
      </c>
      <c r="I345" s="49" t="s">
        <v>173</v>
      </c>
      <c r="J345" s="76">
        <v>-141.86000000000001</v>
      </c>
      <c r="K345" s="83" t="str">
        <f>IFERROR(IFERROR(VLOOKUP(I345,'DE-PARA'!B:D,3,0),VLOOKUP(I345,'DE-PARA'!C:D,2,0)),"NÃO ENCONTRADO")</f>
        <v>Serviços</v>
      </c>
      <c r="L345" s="50" t="str">
        <f>VLOOKUP(K345,'Base -Receita-Despesa'!$B:$P,1,FALSE)</f>
        <v>Serviços</v>
      </c>
    </row>
    <row r="346" spans="1:12" ht="15" customHeight="1" x14ac:dyDescent="0.3">
      <c r="A346" s="82" t="str">
        <f t="shared" si="10"/>
        <v>2016</v>
      </c>
      <c r="B346" s="72" t="s">
        <v>131</v>
      </c>
      <c r="C346" s="73" t="s">
        <v>132</v>
      </c>
      <c r="D346" s="74" t="str">
        <f t="shared" si="11"/>
        <v>fev/2016</v>
      </c>
      <c r="E346" s="53">
        <v>42418</v>
      </c>
      <c r="F346" s="75" t="s">
        <v>174</v>
      </c>
      <c r="G346" s="72"/>
      <c r="H346" s="49" t="s">
        <v>483</v>
      </c>
      <c r="I346" s="49" t="s">
        <v>173</v>
      </c>
      <c r="J346" s="76">
        <v>-193</v>
      </c>
      <c r="K346" s="83" t="str">
        <f>IFERROR(IFERROR(VLOOKUP(I346,'DE-PARA'!B:D,3,0),VLOOKUP(I346,'DE-PARA'!C:D,2,0)),"NÃO ENCONTRADO")</f>
        <v>Serviços</v>
      </c>
      <c r="L346" s="50" t="str">
        <f>VLOOKUP(K346,'Base -Receita-Despesa'!$B:$P,1,FALSE)</f>
        <v>Serviços</v>
      </c>
    </row>
    <row r="347" spans="1:12" ht="15" customHeight="1" x14ac:dyDescent="0.3">
      <c r="A347" s="82" t="str">
        <f t="shared" si="10"/>
        <v>2016</v>
      </c>
      <c r="B347" s="72" t="s">
        <v>131</v>
      </c>
      <c r="C347" s="73" t="s">
        <v>132</v>
      </c>
      <c r="D347" s="74" t="str">
        <f t="shared" si="11"/>
        <v>fev/2016</v>
      </c>
      <c r="E347" s="53">
        <v>42418</v>
      </c>
      <c r="F347" s="75" t="s">
        <v>174</v>
      </c>
      <c r="G347" s="72"/>
      <c r="H347" s="49" t="s">
        <v>484</v>
      </c>
      <c r="I347" s="49" t="s">
        <v>110</v>
      </c>
      <c r="J347" s="76">
        <v>-13.15</v>
      </c>
      <c r="K347" s="83" t="str">
        <f>IFERROR(IFERROR(VLOOKUP(I347,'DE-PARA'!B:D,3,0),VLOOKUP(I347,'DE-PARA'!C:D,2,0)),"NÃO ENCONTRADO")</f>
        <v>Serviços</v>
      </c>
      <c r="L347" s="50" t="str">
        <f>VLOOKUP(K347,'Base -Receita-Despesa'!$B:$P,1,FALSE)</f>
        <v>Serviços</v>
      </c>
    </row>
    <row r="348" spans="1:12" ht="15" customHeight="1" x14ac:dyDescent="0.3">
      <c r="A348" s="82" t="str">
        <f t="shared" si="10"/>
        <v>2016</v>
      </c>
      <c r="B348" s="72" t="s">
        <v>131</v>
      </c>
      <c r="C348" s="73" t="s">
        <v>132</v>
      </c>
      <c r="D348" s="74" t="str">
        <f t="shared" si="11"/>
        <v>fev/2016</v>
      </c>
      <c r="E348" s="53">
        <v>42418</v>
      </c>
      <c r="F348" s="75" t="s">
        <v>174</v>
      </c>
      <c r="G348" s="72"/>
      <c r="H348" s="49" t="s">
        <v>485</v>
      </c>
      <c r="I348" s="49" t="s">
        <v>110</v>
      </c>
      <c r="J348" s="76">
        <v>-10.75</v>
      </c>
      <c r="K348" s="83" t="str">
        <f>IFERROR(IFERROR(VLOOKUP(I348,'DE-PARA'!B:D,3,0),VLOOKUP(I348,'DE-PARA'!C:D,2,0)),"NÃO ENCONTRADO")</f>
        <v>Serviços</v>
      </c>
      <c r="L348" s="50" t="str">
        <f>VLOOKUP(K348,'Base -Receita-Despesa'!$B:$P,1,FALSE)</f>
        <v>Serviços</v>
      </c>
    </row>
    <row r="349" spans="1:12" ht="15" customHeight="1" x14ac:dyDescent="0.3">
      <c r="A349" s="82" t="str">
        <f t="shared" si="10"/>
        <v>2016</v>
      </c>
      <c r="B349" s="72" t="s">
        <v>131</v>
      </c>
      <c r="C349" s="73" t="s">
        <v>132</v>
      </c>
      <c r="D349" s="74" t="str">
        <f t="shared" si="11"/>
        <v>fev/2016</v>
      </c>
      <c r="E349" s="53">
        <v>42418</v>
      </c>
      <c r="F349" s="75" t="s">
        <v>174</v>
      </c>
      <c r="G349" s="72"/>
      <c r="H349" s="49" t="s">
        <v>285</v>
      </c>
      <c r="I349" s="49" t="s">
        <v>185</v>
      </c>
      <c r="J349" s="76">
        <v>-4064.47</v>
      </c>
      <c r="K349" s="83" t="str">
        <f>IFERROR(IFERROR(VLOOKUP(I349,'DE-PARA'!B:D,3,0),VLOOKUP(I349,'DE-PARA'!C:D,2,0)),"NÃO ENCONTRADO")</f>
        <v>Encargos sobre Folha de Pagamento</v>
      </c>
      <c r="L349" s="50" t="str">
        <f>VLOOKUP(K349,'Base -Receita-Despesa'!$B:$P,1,FALSE)</f>
        <v>Encargos sobre Folha de Pagamento</v>
      </c>
    </row>
    <row r="350" spans="1:12" ht="15" customHeight="1" x14ac:dyDescent="0.3">
      <c r="A350" s="82" t="str">
        <f t="shared" si="10"/>
        <v>2016</v>
      </c>
      <c r="B350" s="72" t="s">
        <v>131</v>
      </c>
      <c r="C350" s="73" t="s">
        <v>132</v>
      </c>
      <c r="D350" s="74" t="str">
        <f t="shared" si="11"/>
        <v>fev/2016</v>
      </c>
      <c r="E350" s="53">
        <v>42418</v>
      </c>
      <c r="F350" s="75" t="s">
        <v>486</v>
      </c>
      <c r="G350" s="72"/>
      <c r="H350" s="49" t="s">
        <v>224</v>
      </c>
      <c r="I350" s="49" t="s">
        <v>150</v>
      </c>
      <c r="J350" s="76">
        <v>-800</v>
      </c>
      <c r="K350" s="83" t="str">
        <f>IFERROR(IFERROR(VLOOKUP(I350,'DE-PARA'!B:D,3,0),VLOOKUP(I350,'DE-PARA'!C:D,2,0)),"NÃO ENCONTRADO")</f>
        <v>Materiais</v>
      </c>
      <c r="L350" s="50" t="str">
        <f>VLOOKUP(K350,'Base -Receita-Despesa'!$B:$P,1,FALSE)</f>
        <v>Materiais</v>
      </c>
    </row>
    <row r="351" spans="1:12" ht="15" customHeight="1" x14ac:dyDescent="0.3">
      <c r="A351" s="82" t="str">
        <f t="shared" si="10"/>
        <v>2016</v>
      </c>
      <c r="B351" s="72" t="s">
        <v>131</v>
      </c>
      <c r="C351" s="73" t="s">
        <v>132</v>
      </c>
      <c r="D351" s="74" t="str">
        <f t="shared" si="11"/>
        <v>fev/2016</v>
      </c>
      <c r="E351" s="53">
        <v>42418</v>
      </c>
      <c r="F351" s="75" t="s">
        <v>174</v>
      </c>
      <c r="G351" s="72"/>
      <c r="H351" s="49" t="s">
        <v>487</v>
      </c>
      <c r="I351" s="49" t="s">
        <v>138</v>
      </c>
      <c r="J351" s="76">
        <v>-19.329999999999998</v>
      </c>
      <c r="K351" s="83" t="str">
        <f>IFERROR(IFERROR(VLOOKUP(I351,'DE-PARA'!B:D,3,0),VLOOKUP(I351,'DE-PARA'!C:D,2,0)),"NÃO ENCONTRADO")</f>
        <v>Serviços</v>
      </c>
      <c r="L351" s="50" t="str">
        <f>VLOOKUP(K351,'Base -Receita-Despesa'!$B:$P,1,FALSE)</f>
        <v>Serviços</v>
      </c>
    </row>
    <row r="352" spans="1:12" ht="15" customHeight="1" x14ac:dyDescent="0.3">
      <c r="A352" s="82" t="str">
        <f t="shared" si="10"/>
        <v>2016</v>
      </c>
      <c r="B352" s="72" t="s">
        <v>131</v>
      </c>
      <c r="C352" s="73" t="s">
        <v>132</v>
      </c>
      <c r="D352" s="74" t="str">
        <f t="shared" si="11"/>
        <v>fev/2016</v>
      </c>
      <c r="E352" s="53">
        <v>42418</v>
      </c>
      <c r="F352" s="75" t="s">
        <v>174</v>
      </c>
      <c r="G352" s="72"/>
      <c r="H352" s="49" t="s">
        <v>488</v>
      </c>
      <c r="I352" s="49" t="s">
        <v>110</v>
      </c>
      <c r="J352" s="76">
        <v>-50.07</v>
      </c>
      <c r="K352" s="83" t="str">
        <f>IFERROR(IFERROR(VLOOKUP(I352,'DE-PARA'!B:D,3,0),VLOOKUP(I352,'DE-PARA'!C:D,2,0)),"NÃO ENCONTRADO")</f>
        <v>Serviços</v>
      </c>
      <c r="L352" s="50" t="str">
        <f>VLOOKUP(K352,'Base -Receita-Despesa'!$B:$P,1,FALSE)</f>
        <v>Serviços</v>
      </c>
    </row>
    <row r="353" spans="1:12" ht="15" customHeight="1" x14ac:dyDescent="0.3">
      <c r="A353" s="82" t="str">
        <f t="shared" si="10"/>
        <v>2016</v>
      </c>
      <c r="B353" s="72" t="s">
        <v>131</v>
      </c>
      <c r="C353" s="73" t="s">
        <v>132</v>
      </c>
      <c r="D353" s="74" t="str">
        <f t="shared" si="11"/>
        <v>fev/2016</v>
      </c>
      <c r="E353" s="53">
        <v>42418</v>
      </c>
      <c r="F353" s="75" t="s">
        <v>174</v>
      </c>
      <c r="G353" s="72"/>
      <c r="H353" s="49" t="s">
        <v>294</v>
      </c>
      <c r="I353" s="49" t="s">
        <v>185</v>
      </c>
      <c r="J353" s="76">
        <v>-4270.8</v>
      </c>
      <c r="K353" s="83" t="str">
        <f>IFERROR(IFERROR(VLOOKUP(I353,'DE-PARA'!B:D,3,0),VLOOKUP(I353,'DE-PARA'!C:D,2,0)),"NÃO ENCONTRADO")</f>
        <v>Encargos sobre Folha de Pagamento</v>
      </c>
      <c r="L353" s="50" t="str">
        <f>VLOOKUP(K353,'Base -Receita-Despesa'!$B:$P,1,FALSE)</f>
        <v>Encargos sobre Folha de Pagamento</v>
      </c>
    </row>
    <row r="354" spans="1:12" ht="15" customHeight="1" x14ac:dyDescent="0.3">
      <c r="A354" s="82" t="str">
        <f t="shared" si="10"/>
        <v>2016</v>
      </c>
      <c r="B354" s="72" t="s">
        <v>131</v>
      </c>
      <c r="C354" s="73" t="s">
        <v>132</v>
      </c>
      <c r="D354" s="74" t="str">
        <f t="shared" si="11"/>
        <v>fev/2016</v>
      </c>
      <c r="E354" s="53">
        <v>42418</v>
      </c>
      <c r="F354" s="75" t="s">
        <v>489</v>
      </c>
      <c r="G354" s="72"/>
      <c r="H354" s="49" t="s">
        <v>215</v>
      </c>
      <c r="I354" s="49" t="s">
        <v>167</v>
      </c>
      <c r="J354" s="76">
        <v>-69118.539999999994</v>
      </c>
      <c r="K354" s="83" t="str">
        <f>IFERROR(IFERROR(VLOOKUP(I354,'DE-PARA'!B:D,3,0),VLOOKUP(I354,'DE-PARA'!C:D,2,0)),"NÃO ENCONTRADO")</f>
        <v>Materiais</v>
      </c>
      <c r="L354" s="50" t="str">
        <f>VLOOKUP(K354,'Base -Receita-Despesa'!$B:$P,1,FALSE)</f>
        <v>Materiais</v>
      </c>
    </row>
    <row r="355" spans="1:12" ht="15" customHeight="1" x14ac:dyDescent="0.3">
      <c r="A355" s="82" t="str">
        <f t="shared" si="10"/>
        <v>2016</v>
      </c>
      <c r="B355" s="72" t="s">
        <v>131</v>
      </c>
      <c r="C355" s="73" t="s">
        <v>132</v>
      </c>
      <c r="D355" s="74" t="str">
        <f t="shared" si="11"/>
        <v>fev/2016</v>
      </c>
      <c r="E355" s="53">
        <v>42418</v>
      </c>
      <c r="F355" s="75" t="s">
        <v>490</v>
      </c>
      <c r="G355" s="72"/>
      <c r="H355" s="49" t="s">
        <v>215</v>
      </c>
      <c r="I355" s="49" t="s">
        <v>167</v>
      </c>
      <c r="J355" s="76">
        <v>-586.70000000000005</v>
      </c>
      <c r="K355" s="83" t="str">
        <f>IFERROR(IFERROR(VLOOKUP(I355,'DE-PARA'!B:D,3,0),VLOOKUP(I355,'DE-PARA'!C:D,2,0)),"NÃO ENCONTRADO")</f>
        <v>Materiais</v>
      </c>
      <c r="L355" s="50" t="str">
        <f>VLOOKUP(K355,'Base -Receita-Despesa'!$B:$P,1,FALSE)</f>
        <v>Materiais</v>
      </c>
    </row>
    <row r="356" spans="1:12" ht="15" customHeight="1" x14ac:dyDescent="0.3">
      <c r="A356" s="82" t="str">
        <f t="shared" si="10"/>
        <v>2016</v>
      </c>
      <c r="B356" s="72" t="s">
        <v>131</v>
      </c>
      <c r="C356" s="73" t="s">
        <v>132</v>
      </c>
      <c r="D356" s="74" t="str">
        <f t="shared" si="11"/>
        <v>fev/2016</v>
      </c>
      <c r="E356" s="53">
        <v>42418</v>
      </c>
      <c r="F356" s="75" t="s">
        <v>491</v>
      </c>
      <c r="G356" s="72"/>
      <c r="H356" s="49" t="s">
        <v>215</v>
      </c>
      <c r="I356" s="49" t="s">
        <v>167</v>
      </c>
      <c r="J356" s="76">
        <v>-459.5</v>
      </c>
      <c r="K356" s="83" t="str">
        <f>IFERROR(IFERROR(VLOOKUP(I356,'DE-PARA'!B:D,3,0),VLOOKUP(I356,'DE-PARA'!C:D,2,0)),"NÃO ENCONTRADO")</f>
        <v>Materiais</v>
      </c>
      <c r="L356" s="50" t="str">
        <f>VLOOKUP(K356,'Base -Receita-Despesa'!$B:$P,1,FALSE)</f>
        <v>Materiais</v>
      </c>
    </row>
    <row r="357" spans="1:12" ht="15" customHeight="1" x14ac:dyDescent="0.3">
      <c r="A357" s="82" t="str">
        <f t="shared" si="10"/>
        <v>2016</v>
      </c>
      <c r="B357" s="72" t="s">
        <v>131</v>
      </c>
      <c r="C357" s="73" t="s">
        <v>132</v>
      </c>
      <c r="D357" s="74" t="str">
        <f t="shared" si="11"/>
        <v>fev/2016</v>
      </c>
      <c r="E357" s="53">
        <v>42418</v>
      </c>
      <c r="F357" s="75" t="s">
        <v>184</v>
      </c>
      <c r="G357" s="72"/>
      <c r="H357" s="49" t="s">
        <v>160</v>
      </c>
      <c r="I357" s="49" t="s">
        <v>186</v>
      </c>
      <c r="J357" s="76">
        <v>-136279.70000000001</v>
      </c>
      <c r="K357" s="83" t="str">
        <f>IFERROR(IFERROR(VLOOKUP(I357,'DE-PARA'!B:D,3,0),VLOOKUP(I357,'DE-PARA'!C:D,2,0)),"NÃO ENCONTRADO")</f>
        <v>Encargos sobre Folha de Pagamento</v>
      </c>
      <c r="L357" s="50" t="str">
        <f>VLOOKUP(K357,'Base -Receita-Despesa'!$B:$P,1,FALSE)</f>
        <v>Encargos sobre Folha de Pagamento</v>
      </c>
    </row>
    <row r="358" spans="1:12" ht="15" customHeight="1" x14ac:dyDescent="0.3">
      <c r="A358" s="82" t="str">
        <f t="shared" si="10"/>
        <v>2016</v>
      </c>
      <c r="B358" s="72" t="s">
        <v>131</v>
      </c>
      <c r="C358" s="73" t="s">
        <v>132</v>
      </c>
      <c r="D358" s="74" t="str">
        <f t="shared" si="11"/>
        <v>fev/2016</v>
      </c>
      <c r="E358" s="53">
        <v>42418</v>
      </c>
      <c r="F358" s="75" t="s">
        <v>493</v>
      </c>
      <c r="G358" s="72"/>
      <c r="H358" s="49" t="s">
        <v>229</v>
      </c>
      <c r="I358" s="49" t="s">
        <v>159</v>
      </c>
      <c r="J358" s="76">
        <v>-2520.9</v>
      </c>
      <c r="K358" s="83" t="str">
        <f>IFERROR(IFERROR(VLOOKUP(I358,'DE-PARA'!B:D,3,0),VLOOKUP(I358,'DE-PARA'!C:D,2,0)),"NÃO ENCONTRADO")</f>
        <v>Materiais</v>
      </c>
      <c r="L358" s="50" t="str">
        <f>VLOOKUP(K358,'Base -Receita-Despesa'!$B:$P,1,FALSE)</f>
        <v>Materiais</v>
      </c>
    </row>
    <row r="359" spans="1:12" ht="15" customHeight="1" x14ac:dyDescent="0.3">
      <c r="A359" s="82" t="str">
        <f t="shared" si="10"/>
        <v>2016</v>
      </c>
      <c r="B359" s="72" t="s">
        <v>131</v>
      </c>
      <c r="C359" s="73" t="s">
        <v>132</v>
      </c>
      <c r="D359" s="74" t="str">
        <f t="shared" si="11"/>
        <v>fev/2016</v>
      </c>
      <c r="E359" s="53">
        <v>42418</v>
      </c>
      <c r="F359" s="75" t="s">
        <v>494</v>
      </c>
      <c r="G359" s="72"/>
      <c r="H359" s="49" t="s">
        <v>229</v>
      </c>
      <c r="I359" s="49" t="s">
        <v>159</v>
      </c>
      <c r="J359" s="76">
        <v>-1381.39</v>
      </c>
      <c r="K359" s="83" t="str">
        <f>IFERROR(IFERROR(VLOOKUP(I359,'DE-PARA'!B:D,3,0),VLOOKUP(I359,'DE-PARA'!C:D,2,0)),"NÃO ENCONTRADO")</f>
        <v>Materiais</v>
      </c>
      <c r="L359" s="50" t="str">
        <f>VLOOKUP(K359,'Base -Receita-Despesa'!$B:$P,1,FALSE)</f>
        <v>Materiais</v>
      </c>
    </row>
    <row r="360" spans="1:12" ht="15" customHeight="1" x14ac:dyDescent="0.3">
      <c r="A360" s="82" t="str">
        <f t="shared" si="10"/>
        <v>2016</v>
      </c>
      <c r="B360" s="72" t="s">
        <v>131</v>
      </c>
      <c r="C360" s="73" t="s">
        <v>132</v>
      </c>
      <c r="D360" s="74" t="str">
        <f t="shared" si="11"/>
        <v>fev/2016</v>
      </c>
      <c r="E360" s="53">
        <v>42418</v>
      </c>
      <c r="F360" s="75" t="s">
        <v>495</v>
      </c>
      <c r="G360" s="72"/>
      <c r="H360" s="49" t="s">
        <v>229</v>
      </c>
      <c r="I360" s="49" t="s">
        <v>159</v>
      </c>
      <c r="J360" s="76">
        <v>-422.2</v>
      </c>
      <c r="K360" s="83" t="str">
        <f>IFERROR(IFERROR(VLOOKUP(I360,'DE-PARA'!B:D,3,0),VLOOKUP(I360,'DE-PARA'!C:D,2,0)),"NÃO ENCONTRADO")</f>
        <v>Materiais</v>
      </c>
      <c r="L360" s="50" t="str">
        <f>VLOOKUP(K360,'Base -Receita-Despesa'!$B:$P,1,FALSE)</f>
        <v>Materiais</v>
      </c>
    </row>
    <row r="361" spans="1:12" ht="15" customHeight="1" x14ac:dyDescent="0.3">
      <c r="A361" s="82" t="str">
        <f t="shared" si="10"/>
        <v>2016</v>
      </c>
      <c r="B361" s="72" t="s">
        <v>131</v>
      </c>
      <c r="C361" s="73" t="s">
        <v>132</v>
      </c>
      <c r="D361" s="74" t="str">
        <f t="shared" si="11"/>
        <v>fev/2016</v>
      </c>
      <c r="E361" s="53">
        <v>42418</v>
      </c>
      <c r="F361" s="75" t="s">
        <v>496</v>
      </c>
      <c r="G361" s="72"/>
      <c r="H361" s="49" t="s">
        <v>229</v>
      </c>
      <c r="I361" s="49" t="s">
        <v>159</v>
      </c>
      <c r="J361" s="76">
        <v>-2014.75</v>
      </c>
      <c r="K361" s="83" t="str">
        <f>IFERROR(IFERROR(VLOOKUP(I361,'DE-PARA'!B:D,3,0),VLOOKUP(I361,'DE-PARA'!C:D,2,0)),"NÃO ENCONTRADO")</f>
        <v>Materiais</v>
      </c>
      <c r="L361" s="50" t="str">
        <f>VLOOKUP(K361,'Base -Receita-Despesa'!$B:$P,1,FALSE)</f>
        <v>Materiais</v>
      </c>
    </row>
    <row r="362" spans="1:12" ht="15" customHeight="1" x14ac:dyDescent="0.3">
      <c r="A362" s="82" t="str">
        <f t="shared" si="10"/>
        <v>2016</v>
      </c>
      <c r="B362" s="72" t="s">
        <v>131</v>
      </c>
      <c r="C362" s="73" t="s">
        <v>132</v>
      </c>
      <c r="D362" s="74" t="str">
        <f t="shared" si="11"/>
        <v>fev/2016</v>
      </c>
      <c r="E362" s="53">
        <v>42418</v>
      </c>
      <c r="F362" s="75" t="s">
        <v>497</v>
      </c>
      <c r="G362" s="72"/>
      <c r="H362" s="49" t="s">
        <v>229</v>
      </c>
      <c r="I362" s="49" t="s">
        <v>159</v>
      </c>
      <c r="J362" s="76">
        <v>-772.2</v>
      </c>
      <c r="K362" s="83" t="str">
        <f>IFERROR(IFERROR(VLOOKUP(I362,'DE-PARA'!B:D,3,0),VLOOKUP(I362,'DE-PARA'!C:D,2,0)),"NÃO ENCONTRADO")</f>
        <v>Materiais</v>
      </c>
      <c r="L362" s="50" t="str">
        <f>VLOOKUP(K362,'Base -Receita-Despesa'!$B:$P,1,FALSE)</f>
        <v>Materiais</v>
      </c>
    </row>
    <row r="363" spans="1:12" ht="15" customHeight="1" x14ac:dyDescent="0.3">
      <c r="A363" s="82" t="str">
        <f t="shared" si="10"/>
        <v>2016</v>
      </c>
      <c r="B363" s="72" t="s">
        <v>131</v>
      </c>
      <c r="C363" s="73" t="s">
        <v>132</v>
      </c>
      <c r="D363" s="74" t="str">
        <f t="shared" si="11"/>
        <v>fev/2016</v>
      </c>
      <c r="E363" s="53">
        <v>42418</v>
      </c>
      <c r="F363" s="75" t="s">
        <v>498</v>
      </c>
      <c r="G363" s="72"/>
      <c r="H363" s="49" t="s">
        <v>229</v>
      </c>
      <c r="I363" s="49" t="s">
        <v>159</v>
      </c>
      <c r="J363" s="76">
        <v>-430.2</v>
      </c>
      <c r="K363" s="83" t="str">
        <f>IFERROR(IFERROR(VLOOKUP(I363,'DE-PARA'!B:D,3,0),VLOOKUP(I363,'DE-PARA'!C:D,2,0)),"NÃO ENCONTRADO")</f>
        <v>Materiais</v>
      </c>
      <c r="L363" s="50" t="str">
        <f>VLOOKUP(K363,'Base -Receita-Despesa'!$B:$P,1,FALSE)</f>
        <v>Materiais</v>
      </c>
    </row>
    <row r="364" spans="1:12" ht="15" customHeight="1" x14ac:dyDescent="0.3">
      <c r="A364" s="82" t="str">
        <f t="shared" si="10"/>
        <v>2016</v>
      </c>
      <c r="B364" s="72" t="s">
        <v>131</v>
      </c>
      <c r="C364" s="73" t="s">
        <v>132</v>
      </c>
      <c r="D364" s="74" t="str">
        <f t="shared" si="11"/>
        <v>fev/2016</v>
      </c>
      <c r="E364" s="53">
        <v>42418</v>
      </c>
      <c r="F364" s="75" t="s">
        <v>499</v>
      </c>
      <c r="G364" s="72"/>
      <c r="H364" s="49" t="s">
        <v>229</v>
      </c>
      <c r="I364" s="49" t="s">
        <v>159</v>
      </c>
      <c r="J364" s="76">
        <v>-479.93</v>
      </c>
      <c r="K364" s="83" t="str">
        <f>IFERROR(IFERROR(VLOOKUP(I364,'DE-PARA'!B:D,3,0),VLOOKUP(I364,'DE-PARA'!C:D,2,0)),"NÃO ENCONTRADO")</f>
        <v>Materiais</v>
      </c>
      <c r="L364" s="50" t="str">
        <f>VLOOKUP(K364,'Base -Receita-Despesa'!$B:$P,1,FALSE)</f>
        <v>Materiais</v>
      </c>
    </row>
    <row r="365" spans="1:12" ht="15" customHeight="1" x14ac:dyDescent="0.3">
      <c r="A365" s="82" t="str">
        <f t="shared" si="10"/>
        <v>2016</v>
      </c>
      <c r="B365" s="72" t="s">
        <v>131</v>
      </c>
      <c r="C365" s="73" t="s">
        <v>132</v>
      </c>
      <c r="D365" s="74" t="str">
        <f t="shared" si="11"/>
        <v>fev/2016</v>
      </c>
      <c r="E365" s="53">
        <v>42418</v>
      </c>
      <c r="F365" s="75" t="s">
        <v>417</v>
      </c>
      <c r="G365" s="72"/>
      <c r="H365" s="49" t="s">
        <v>407</v>
      </c>
      <c r="I365" s="49" t="s">
        <v>168</v>
      </c>
      <c r="J365" s="76">
        <v>152.16</v>
      </c>
      <c r="K365" s="83" t="str">
        <f>IFERROR(IFERROR(VLOOKUP(I365,'DE-PARA'!B:D,3,0),VLOOKUP(I365,'DE-PARA'!C:D,2,0)),"NÃO ENCONTRADO")</f>
        <v>Pessoal</v>
      </c>
      <c r="L365" s="50" t="str">
        <f>VLOOKUP(K365,'Base -Receita-Despesa'!$B:$P,1,FALSE)</f>
        <v>Pessoal</v>
      </c>
    </row>
    <row r="366" spans="1:12" ht="15" customHeight="1" x14ac:dyDescent="0.3">
      <c r="A366" s="82" t="str">
        <f t="shared" si="10"/>
        <v>2016</v>
      </c>
      <c r="B366" s="72" t="s">
        <v>131</v>
      </c>
      <c r="C366" s="73" t="s">
        <v>132</v>
      </c>
      <c r="D366" s="74" t="str">
        <f t="shared" si="11"/>
        <v>fev/2016</v>
      </c>
      <c r="E366" s="53">
        <v>42418</v>
      </c>
      <c r="F366" s="75" t="s">
        <v>500</v>
      </c>
      <c r="G366" s="72"/>
      <c r="H366" s="49" t="s">
        <v>218</v>
      </c>
      <c r="I366" s="49" t="s">
        <v>110</v>
      </c>
      <c r="J366" s="76">
        <v>-4392</v>
      </c>
      <c r="K366" s="83" t="str">
        <f>IFERROR(IFERROR(VLOOKUP(I366,'DE-PARA'!B:D,3,0),VLOOKUP(I366,'DE-PARA'!C:D,2,0)),"NÃO ENCONTRADO")</f>
        <v>Serviços</v>
      </c>
      <c r="L366" s="50" t="str">
        <f>VLOOKUP(K366,'Base -Receita-Despesa'!$B:$P,1,FALSE)</f>
        <v>Serviços</v>
      </c>
    </row>
    <row r="367" spans="1:12" ht="15" customHeight="1" x14ac:dyDescent="0.3">
      <c r="A367" s="82" t="str">
        <f t="shared" si="10"/>
        <v>2016</v>
      </c>
      <c r="B367" s="72" t="s">
        <v>131</v>
      </c>
      <c r="C367" s="73" t="s">
        <v>132</v>
      </c>
      <c r="D367" s="74" t="str">
        <f t="shared" si="11"/>
        <v>fev/2016</v>
      </c>
      <c r="E367" s="53">
        <v>42419</v>
      </c>
      <c r="F367" s="75" t="s">
        <v>136</v>
      </c>
      <c r="G367" s="72"/>
      <c r="H367" s="49" t="s">
        <v>149</v>
      </c>
      <c r="I367" s="49" t="s">
        <v>129</v>
      </c>
      <c r="J367" s="76">
        <v>-7.85</v>
      </c>
      <c r="K367" s="83" t="str">
        <f>IFERROR(IFERROR(VLOOKUP(I367,'DE-PARA'!B:D,3,0),VLOOKUP(I367,'DE-PARA'!C:D,2,0)),"NÃO ENCONTRADO")</f>
        <v>Outras Saídas</v>
      </c>
      <c r="L367" s="50" t="str">
        <f>VLOOKUP(K367,'Base -Receita-Despesa'!$B:$P,1,FALSE)</f>
        <v>Outras Saídas</v>
      </c>
    </row>
    <row r="368" spans="1:12" ht="15" customHeight="1" x14ac:dyDescent="0.3">
      <c r="A368" s="82" t="str">
        <f t="shared" si="10"/>
        <v>2016</v>
      </c>
      <c r="B368" s="72" t="s">
        <v>131</v>
      </c>
      <c r="C368" s="73" t="s">
        <v>132</v>
      </c>
      <c r="D368" s="74" t="str">
        <f t="shared" si="11"/>
        <v>fev/2016</v>
      </c>
      <c r="E368" s="53">
        <v>42419</v>
      </c>
      <c r="F368" s="75" t="s">
        <v>501</v>
      </c>
      <c r="G368" s="72"/>
      <c r="H368" s="49" t="s">
        <v>201</v>
      </c>
      <c r="I368" s="49" t="s">
        <v>110</v>
      </c>
      <c r="J368" s="76">
        <v>-4556</v>
      </c>
      <c r="K368" s="83" t="str">
        <f>IFERROR(IFERROR(VLOOKUP(I368,'DE-PARA'!B:D,3,0),VLOOKUP(I368,'DE-PARA'!C:D,2,0)),"NÃO ENCONTRADO")</f>
        <v>Serviços</v>
      </c>
      <c r="L368" s="50" t="str">
        <f>VLOOKUP(K368,'Base -Receita-Despesa'!$B:$P,1,FALSE)</f>
        <v>Serviços</v>
      </c>
    </row>
    <row r="369" spans="1:12" ht="15" customHeight="1" x14ac:dyDescent="0.3">
      <c r="A369" s="82" t="str">
        <f t="shared" si="10"/>
        <v>2016</v>
      </c>
      <c r="B369" s="72" t="s">
        <v>131</v>
      </c>
      <c r="C369" s="73" t="s">
        <v>132</v>
      </c>
      <c r="D369" s="74" t="str">
        <f t="shared" si="11"/>
        <v>fev/2016</v>
      </c>
      <c r="E369" s="53">
        <v>42419</v>
      </c>
      <c r="F369" s="75" t="s">
        <v>502</v>
      </c>
      <c r="G369" s="72"/>
      <c r="H369" s="49" t="s">
        <v>503</v>
      </c>
      <c r="I369" s="49" t="s">
        <v>159</v>
      </c>
      <c r="J369" s="76">
        <v>-157.83000000000001</v>
      </c>
      <c r="K369" s="83" t="str">
        <f>IFERROR(IFERROR(VLOOKUP(I369,'DE-PARA'!B:D,3,0),VLOOKUP(I369,'DE-PARA'!C:D,2,0)),"NÃO ENCONTRADO")</f>
        <v>Materiais</v>
      </c>
      <c r="L369" s="50" t="str">
        <f>VLOOKUP(K369,'Base -Receita-Despesa'!$B:$P,1,FALSE)</f>
        <v>Materiais</v>
      </c>
    </row>
    <row r="370" spans="1:12" ht="15" customHeight="1" x14ac:dyDescent="0.3">
      <c r="A370" s="82" t="str">
        <f t="shared" si="10"/>
        <v>2016</v>
      </c>
      <c r="B370" s="72" t="s">
        <v>131</v>
      </c>
      <c r="C370" s="73" t="s">
        <v>132</v>
      </c>
      <c r="D370" s="74" t="str">
        <f t="shared" si="11"/>
        <v>fev/2016</v>
      </c>
      <c r="E370" s="53">
        <v>42419</v>
      </c>
      <c r="F370" s="75" t="s">
        <v>504</v>
      </c>
      <c r="G370" s="72"/>
      <c r="H370" s="49" t="s">
        <v>505</v>
      </c>
      <c r="I370" s="49" t="s">
        <v>144</v>
      </c>
      <c r="J370" s="76">
        <v>-2485.6</v>
      </c>
      <c r="K370" s="83" t="str">
        <f>IFERROR(IFERROR(VLOOKUP(I370,'DE-PARA'!B:D,3,0),VLOOKUP(I370,'DE-PARA'!C:D,2,0)),"NÃO ENCONTRADO")</f>
        <v>Concessionárias (água, luz e telefone)</v>
      </c>
      <c r="L370" s="50" t="str">
        <f>VLOOKUP(K370,'Base -Receita-Despesa'!$B:$P,1,FALSE)</f>
        <v>Concessionárias (água, luz e telefone)</v>
      </c>
    </row>
    <row r="371" spans="1:12" ht="15" customHeight="1" x14ac:dyDescent="0.3">
      <c r="A371" s="82" t="str">
        <f t="shared" si="10"/>
        <v>2016</v>
      </c>
      <c r="B371" s="72" t="s">
        <v>131</v>
      </c>
      <c r="C371" s="73" t="s">
        <v>132</v>
      </c>
      <c r="D371" s="74" t="str">
        <f t="shared" si="11"/>
        <v>fev/2016</v>
      </c>
      <c r="E371" s="53">
        <v>42419</v>
      </c>
      <c r="F371" s="75" t="s">
        <v>506</v>
      </c>
      <c r="G371" s="72"/>
      <c r="H371" s="49" t="s">
        <v>505</v>
      </c>
      <c r="I371" s="49" t="s">
        <v>144</v>
      </c>
      <c r="J371" s="76">
        <v>-1100.43</v>
      </c>
      <c r="K371" s="83" t="str">
        <f>IFERROR(IFERROR(VLOOKUP(I371,'DE-PARA'!B:D,3,0),VLOOKUP(I371,'DE-PARA'!C:D,2,0)),"NÃO ENCONTRADO")</f>
        <v>Concessionárias (água, luz e telefone)</v>
      </c>
      <c r="L371" s="50" t="str">
        <f>VLOOKUP(K371,'Base -Receita-Despesa'!$B:$P,1,FALSE)</f>
        <v>Concessionárias (água, luz e telefone)</v>
      </c>
    </row>
    <row r="372" spans="1:12" ht="15" customHeight="1" x14ac:dyDescent="0.3">
      <c r="A372" s="82" t="str">
        <f t="shared" si="10"/>
        <v>2016</v>
      </c>
      <c r="B372" s="72" t="s">
        <v>131</v>
      </c>
      <c r="C372" s="73" t="s">
        <v>132</v>
      </c>
      <c r="D372" s="74" t="str">
        <f t="shared" si="11"/>
        <v>fev/2016</v>
      </c>
      <c r="E372" s="53">
        <v>42419</v>
      </c>
      <c r="F372" s="75" t="s">
        <v>507</v>
      </c>
      <c r="G372" s="72"/>
      <c r="H372" s="49" t="s">
        <v>212</v>
      </c>
      <c r="I372" s="49" t="s">
        <v>138</v>
      </c>
      <c r="J372" s="76">
        <v>-216</v>
      </c>
      <c r="K372" s="83" t="str">
        <f>IFERROR(IFERROR(VLOOKUP(I372,'DE-PARA'!B:D,3,0),VLOOKUP(I372,'DE-PARA'!C:D,2,0)),"NÃO ENCONTRADO")</f>
        <v>Serviços</v>
      </c>
      <c r="L372" s="50" t="str">
        <f>VLOOKUP(K372,'Base -Receita-Despesa'!$B:$P,1,FALSE)</f>
        <v>Serviços</v>
      </c>
    </row>
    <row r="373" spans="1:12" ht="15" customHeight="1" x14ac:dyDescent="0.3">
      <c r="A373" s="82" t="str">
        <f t="shared" si="10"/>
        <v>2016</v>
      </c>
      <c r="B373" s="72" t="s">
        <v>131</v>
      </c>
      <c r="C373" s="73" t="s">
        <v>132</v>
      </c>
      <c r="D373" s="74" t="str">
        <f t="shared" si="11"/>
        <v>fev/2016</v>
      </c>
      <c r="E373" s="53">
        <v>42419</v>
      </c>
      <c r="F373" s="75" t="s">
        <v>508</v>
      </c>
      <c r="G373" s="72"/>
      <c r="H373" s="49" t="s">
        <v>213</v>
      </c>
      <c r="I373" s="49" t="s">
        <v>159</v>
      </c>
      <c r="J373" s="76">
        <v>-1171.72</v>
      </c>
      <c r="K373" s="83" t="str">
        <f>IFERROR(IFERROR(VLOOKUP(I373,'DE-PARA'!B:D,3,0),VLOOKUP(I373,'DE-PARA'!C:D,2,0)),"NÃO ENCONTRADO")</f>
        <v>Materiais</v>
      </c>
      <c r="L373" s="50" t="str">
        <f>VLOOKUP(K373,'Base -Receita-Despesa'!$B:$P,1,FALSE)</f>
        <v>Materiais</v>
      </c>
    </row>
    <row r="374" spans="1:12" ht="15" customHeight="1" x14ac:dyDescent="0.3">
      <c r="A374" s="82" t="str">
        <f t="shared" si="10"/>
        <v>2016</v>
      </c>
      <c r="B374" s="72" t="s">
        <v>131</v>
      </c>
      <c r="C374" s="73" t="s">
        <v>132</v>
      </c>
      <c r="D374" s="74" t="str">
        <f t="shared" si="11"/>
        <v>fev/2016</v>
      </c>
      <c r="E374" s="53">
        <v>42419</v>
      </c>
      <c r="F374" s="75" t="s">
        <v>509</v>
      </c>
      <c r="G374" s="72"/>
      <c r="H374" s="49" t="s">
        <v>213</v>
      </c>
      <c r="I374" s="49" t="s">
        <v>159</v>
      </c>
      <c r="J374" s="76">
        <v>-1144.8699999999999</v>
      </c>
      <c r="K374" s="83" t="str">
        <f>IFERROR(IFERROR(VLOOKUP(I374,'DE-PARA'!B:D,3,0),VLOOKUP(I374,'DE-PARA'!C:D,2,0)),"NÃO ENCONTRADO")</f>
        <v>Materiais</v>
      </c>
      <c r="L374" s="50" t="str">
        <f>VLOOKUP(K374,'Base -Receita-Despesa'!$B:$P,1,FALSE)</f>
        <v>Materiais</v>
      </c>
    </row>
    <row r="375" spans="1:12" ht="15" customHeight="1" x14ac:dyDescent="0.3">
      <c r="A375" s="82" t="str">
        <f t="shared" si="10"/>
        <v>2016</v>
      </c>
      <c r="B375" s="72" t="s">
        <v>131</v>
      </c>
      <c r="C375" s="73" t="s">
        <v>132</v>
      </c>
      <c r="D375" s="74" t="str">
        <f t="shared" si="11"/>
        <v>fev/2016</v>
      </c>
      <c r="E375" s="53">
        <v>42419</v>
      </c>
      <c r="F375" s="75" t="s">
        <v>510</v>
      </c>
      <c r="G375" s="72"/>
      <c r="H375" s="49" t="s">
        <v>145</v>
      </c>
      <c r="I375" s="49" t="s">
        <v>144</v>
      </c>
      <c r="J375" s="76">
        <v>-1699</v>
      </c>
      <c r="K375" s="83" t="str">
        <f>IFERROR(IFERROR(VLOOKUP(I375,'DE-PARA'!B:D,3,0),VLOOKUP(I375,'DE-PARA'!C:D,2,0)),"NÃO ENCONTRADO")</f>
        <v>Concessionárias (água, luz e telefone)</v>
      </c>
      <c r="L375" s="50" t="str">
        <f>VLOOKUP(K375,'Base -Receita-Despesa'!$B:$P,1,FALSE)</f>
        <v>Concessionárias (água, luz e telefone)</v>
      </c>
    </row>
    <row r="376" spans="1:12" ht="15" customHeight="1" x14ac:dyDescent="0.3">
      <c r="A376" s="82" t="str">
        <f t="shared" si="10"/>
        <v>2016</v>
      </c>
      <c r="B376" s="72" t="s">
        <v>131</v>
      </c>
      <c r="C376" s="73" t="s">
        <v>132</v>
      </c>
      <c r="D376" s="74" t="str">
        <f t="shared" si="11"/>
        <v>fev/2016</v>
      </c>
      <c r="E376" s="53">
        <v>42422</v>
      </c>
      <c r="F376" s="75" t="s">
        <v>511</v>
      </c>
      <c r="G376" s="72"/>
      <c r="H376" s="49" t="s">
        <v>358</v>
      </c>
      <c r="I376" s="49" t="s">
        <v>159</v>
      </c>
      <c r="J376" s="76">
        <v>-666.12</v>
      </c>
      <c r="K376" s="83" t="str">
        <f>IFERROR(IFERROR(VLOOKUP(I376,'DE-PARA'!B:D,3,0),VLOOKUP(I376,'DE-PARA'!C:D,2,0)),"NÃO ENCONTRADO")</f>
        <v>Materiais</v>
      </c>
      <c r="L376" s="50" t="str">
        <f>VLOOKUP(K376,'Base -Receita-Despesa'!$B:$P,1,FALSE)</f>
        <v>Materiais</v>
      </c>
    </row>
    <row r="377" spans="1:12" ht="15" customHeight="1" x14ac:dyDescent="0.3">
      <c r="A377" s="82" t="str">
        <f t="shared" si="10"/>
        <v>2016</v>
      </c>
      <c r="B377" s="72" t="s">
        <v>131</v>
      </c>
      <c r="C377" s="73" t="s">
        <v>132</v>
      </c>
      <c r="D377" s="74" t="str">
        <f t="shared" si="11"/>
        <v>fev/2016</v>
      </c>
      <c r="E377" s="53">
        <v>42422</v>
      </c>
      <c r="F377" s="75" t="s">
        <v>512</v>
      </c>
      <c r="G377" s="72"/>
      <c r="H377" s="49" t="s">
        <v>358</v>
      </c>
      <c r="I377" s="49" t="s">
        <v>159</v>
      </c>
      <c r="J377" s="76">
        <v>-494</v>
      </c>
      <c r="K377" s="83" t="str">
        <f>IFERROR(IFERROR(VLOOKUP(I377,'DE-PARA'!B:D,3,0),VLOOKUP(I377,'DE-PARA'!C:D,2,0)),"NÃO ENCONTRADO")</f>
        <v>Materiais</v>
      </c>
      <c r="L377" s="50" t="str">
        <f>VLOOKUP(K377,'Base -Receita-Despesa'!$B:$P,1,FALSE)</f>
        <v>Materiais</v>
      </c>
    </row>
    <row r="378" spans="1:12" ht="15" customHeight="1" x14ac:dyDescent="0.3">
      <c r="A378" s="82" t="str">
        <f t="shared" si="10"/>
        <v>2016</v>
      </c>
      <c r="B378" s="72" t="s">
        <v>131</v>
      </c>
      <c r="C378" s="73" t="s">
        <v>132</v>
      </c>
      <c r="D378" s="74" t="str">
        <f t="shared" si="11"/>
        <v>fev/2016</v>
      </c>
      <c r="E378" s="53">
        <v>42422</v>
      </c>
      <c r="F378" s="75" t="s">
        <v>123</v>
      </c>
      <c r="G378" s="72"/>
      <c r="H378" s="49" t="s">
        <v>513</v>
      </c>
      <c r="I378" s="49" t="s">
        <v>124</v>
      </c>
      <c r="J378" s="76">
        <v>-783.59</v>
      </c>
      <c r="K378" s="83" t="str">
        <f>IFERROR(IFERROR(VLOOKUP(I378,'DE-PARA'!B:D,3,0),VLOOKUP(I378,'DE-PARA'!C:D,2,0)),"NÃO ENCONTRADO")</f>
        <v>Rescisões Trabalhistas</v>
      </c>
      <c r="L378" s="50" t="str">
        <f>VLOOKUP(K378,'Base -Receita-Despesa'!$B:$P,1,FALSE)</f>
        <v>Rescisões Trabalhistas</v>
      </c>
    </row>
    <row r="379" spans="1:12" ht="15" customHeight="1" x14ac:dyDescent="0.3">
      <c r="A379" s="82" t="str">
        <f t="shared" si="10"/>
        <v>2016</v>
      </c>
      <c r="B379" s="72" t="s">
        <v>131</v>
      </c>
      <c r="C379" s="73" t="s">
        <v>132</v>
      </c>
      <c r="D379" s="74" t="str">
        <f t="shared" si="11"/>
        <v>fev/2016</v>
      </c>
      <c r="E379" s="53">
        <v>42422</v>
      </c>
      <c r="F379" s="75" t="s">
        <v>337</v>
      </c>
      <c r="G379" s="72"/>
      <c r="H379" s="49" t="s">
        <v>514</v>
      </c>
      <c r="I379" s="49" t="s">
        <v>515</v>
      </c>
      <c r="J379" s="76">
        <v>-25000</v>
      </c>
      <c r="K379" s="83" t="str">
        <f>IFERROR(IFERROR(VLOOKUP(I379,'DE-PARA'!B:D,3,0),VLOOKUP(I379,'DE-PARA'!C:D,2,0)),"NÃO ENCONTRADO")</f>
        <v>Serviços</v>
      </c>
      <c r="L379" s="50" t="str">
        <f>VLOOKUP(K379,'Base -Receita-Despesa'!$B:$P,1,FALSE)</f>
        <v>Serviços</v>
      </c>
    </row>
    <row r="380" spans="1:12" ht="15" customHeight="1" x14ac:dyDescent="0.3">
      <c r="A380" s="82" t="str">
        <f t="shared" si="10"/>
        <v>2016</v>
      </c>
      <c r="B380" s="72" t="s">
        <v>131</v>
      </c>
      <c r="C380" s="73" t="s">
        <v>132</v>
      </c>
      <c r="D380" s="74" t="str">
        <f t="shared" si="11"/>
        <v>fev/2016</v>
      </c>
      <c r="E380" s="53">
        <v>42422</v>
      </c>
      <c r="F380" s="75" t="s">
        <v>516</v>
      </c>
      <c r="G380" s="72"/>
      <c r="H380" s="49" t="s">
        <v>517</v>
      </c>
      <c r="I380" s="49" t="s">
        <v>159</v>
      </c>
      <c r="J380" s="76">
        <v>-892.5</v>
      </c>
      <c r="K380" s="83" t="str">
        <f>IFERROR(IFERROR(VLOOKUP(I380,'DE-PARA'!B:D,3,0),VLOOKUP(I380,'DE-PARA'!C:D,2,0)),"NÃO ENCONTRADO")</f>
        <v>Materiais</v>
      </c>
      <c r="L380" s="50" t="str">
        <f>VLOOKUP(K380,'Base -Receita-Despesa'!$B:$P,1,FALSE)</f>
        <v>Materiais</v>
      </c>
    </row>
    <row r="381" spans="1:12" ht="15" customHeight="1" x14ac:dyDescent="0.3">
      <c r="A381" s="82" t="str">
        <f t="shared" si="10"/>
        <v>2016</v>
      </c>
      <c r="B381" s="72" t="s">
        <v>131</v>
      </c>
      <c r="C381" s="73" t="s">
        <v>132</v>
      </c>
      <c r="D381" s="74" t="str">
        <f t="shared" si="11"/>
        <v>fev/2016</v>
      </c>
      <c r="E381" s="53">
        <v>42422</v>
      </c>
      <c r="F381" s="75" t="s">
        <v>518</v>
      </c>
      <c r="G381" s="72"/>
      <c r="H381" s="49" t="s">
        <v>220</v>
      </c>
      <c r="I381" s="49" t="s">
        <v>180</v>
      </c>
      <c r="J381" s="76">
        <v>-4500</v>
      </c>
      <c r="K381" s="83" t="str">
        <f>IFERROR(IFERROR(VLOOKUP(I381,'DE-PARA'!B:D,3,0),VLOOKUP(I381,'DE-PARA'!C:D,2,0)),"NÃO ENCONTRADO")</f>
        <v>Serviços</v>
      </c>
      <c r="L381" s="50" t="str">
        <f>VLOOKUP(K381,'Base -Receita-Despesa'!$B:$P,1,FALSE)</f>
        <v>Serviços</v>
      </c>
    </row>
    <row r="382" spans="1:12" ht="15" customHeight="1" x14ac:dyDescent="0.3">
      <c r="A382" s="82" t="str">
        <f t="shared" si="10"/>
        <v>2016</v>
      </c>
      <c r="B382" s="72" t="s">
        <v>131</v>
      </c>
      <c r="C382" s="73" t="s">
        <v>132</v>
      </c>
      <c r="D382" s="74" t="str">
        <f t="shared" si="11"/>
        <v>fev/2016</v>
      </c>
      <c r="E382" s="53">
        <v>42422</v>
      </c>
      <c r="F382" s="75" t="s">
        <v>426</v>
      </c>
      <c r="G382" s="72"/>
      <c r="H382" s="49" t="s">
        <v>427</v>
      </c>
      <c r="I382" s="49" t="s">
        <v>428</v>
      </c>
      <c r="J382" s="76">
        <v>-788</v>
      </c>
      <c r="K382" s="83" t="str">
        <f>IFERROR(IFERROR(VLOOKUP(I382,'DE-PARA'!B:D,3,0),VLOOKUP(I382,'DE-PARA'!C:D,2,0)),"NÃO ENCONTRADO")</f>
        <v>Aluguéis</v>
      </c>
      <c r="L382" s="50" t="str">
        <f>VLOOKUP(K382,'Base -Receita-Despesa'!$B:$P,1,FALSE)</f>
        <v>Aluguéis</v>
      </c>
    </row>
    <row r="383" spans="1:12" ht="15" customHeight="1" x14ac:dyDescent="0.3">
      <c r="A383" s="82" t="str">
        <f t="shared" si="10"/>
        <v>2016</v>
      </c>
      <c r="B383" s="72" t="s">
        <v>131</v>
      </c>
      <c r="C383" s="73" t="s">
        <v>132</v>
      </c>
      <c r="D383" s="74" t="str">
        <f t="shared" si="11"/>
        <v>fev/2016</v>
      </c>
      <c r="E383" s="53">
        <v>42422</v>
      </c>
      <c r="F383" s="75" t="s">
        <v>426</v>
      </c>
      <c r="G383" s="72"/>
      <c r="H383" s="49" t="s">
        <v>427</v>
      </c>
      <c r="I383" s="49" t="s">
        <v>428</v>
      </c>
      <c r="J383" s="76">
        <v>-880</v>
      </c>
      <c r="K383" s="83" t="str">
        <f>IFERROR(IFERROR(VLOOKUP(I383,'DE-PARA'!B:D,3,0),VLOOKUP(I383,'DE-PARA'!C:D,2,0)),"NÃO ENCONTRADO")</f>
        <v>Aluguéis</v>
      </c>
      <c r="L383" s="50" t="str">
        <f>VLOOKUP(K383,'Base -Receita-Despesa'!$B:$P,1,FALSE)</f>
        <v>Aluguéis</v>
      </c>
    </row>
    <row r="384" spans="1:12" ht="15" customHeight="1" x14ac:dyDescent="0.3">
      <c r="A384" s="82" t="str">
        <f t="shared" si="10"/>
        <v>2016</v>
      </c>
      <c r="B384" s="72" t="s">
        <v>131</v>
      </c>
      <c r="C384" s="73" t="s">
        <v>132</v>
      </c>
      <c r="D384" s="74" t="str">
        <f t="shared" si="11"/>
        <v>fev/2016</v>
      </c>
      <c r="E384" s="53">
        <v>42422</v>
      </c>
      <c r="F384" s="75" t="s">
        <v>519</v>
      </c>
      <c r="G384" s="72"/>
      <c r="H384" s="49" t="s">
        <v>202</v>
      </c>
      <c r="I384" s="49" t="s">
        <v>191</v>
      </c>
      <c r="J384" s="76">
        <v>-10000</v>
      </c>
      <c r="K384" s="83" t="str">
        <f>IFERROR(IFERROR(VLOOKUP(I384,'DE-PARA'!B:D,3,0),VLOOKUP(I384,'DE-PARA'!C:D,2,0)),"NÃO ENCONTRADO")</f>
        <v>Serviços</v>
      </c>
      <c r="L384" s="50" t="str">
        <f>VLOOKUP(K384,'Base -Receita-Despesa'!$B:$P,1,FALSE)</f>
        <v>Serviços</v>
      </c>
    </row>
    <row r="385" spans="1:12" ht="15" customHeight="1" x14ac:dyDescent="0.3">
      <c r="A385" s="82" t="str">
        <f t="shared" si="10"/>
        <v>2016</v>
      </c>
      <c r="B385" s="72" t="s">
        <v>131</v>
      </c>
      <c r="C385" s="73" t="s">
        <v>132</v>
      </c>
      <c r="D385" s="74" t="str">
        <f t="shared" si="11"/>
        <v>fev/2016</v>
      </c>
      <c r="E385" s="53">
        <v>42422</v>
      </c>
      <c r="F385" s="75" t="s">
        <v>520</v>
      </c>
      <c r="G385" s="72"/>
      <c r="H385" s="49" t="s">
        <v>178</v>
      </c>
      <c r="I385" s="49" t="s">
        <v>110</v>
      </c>
      <c r="J385" s="76">
        <v>-2600.59</v>
      </c>
      <c r="K385" s="83" t="str">
        <f>IFERROR(IFERROR(VLOOKUP(I385,'DE-PARA'!B:D,3,0),VLOOKUP(I385,'DE-PARA'!C:D,2,0)),"NÃO ENCONTRADO")</f>
        <v>Serviços</v>
      </c>
      <c r="L385" s="50" t="str">
        <f>VLOOKUP(K385,'Base -Receita-Despesa'!$B:$P,1,FALSE)</f>
        <v>Serviços</v>
      </c>
    </row>
    <row r="386" spans="1:12" ht="15" customHeight="1" x14ac:dyDescent="0.3">
      <c r="A386" s="82" t="str">
        <f t="shared" si="10"/>
        <v>2016</v>
      </c>
      <c r="B386" s="72" t="s">
        <v>131</v>
      </c>
      <c r="C386" s="73" t="s">
        <v>132</v>
      </c>
      <c r="D386" s="74" t="str">
        <f t="shared" si="11"/>
        <v>fev/2016</v>
      </c>
      <c r="E386" s="53">
        <v>42422</v>
      </c>
      <c r="F386" s="75" t="s">
        <v>521</v>
      </c>
      <c r="G386" s="72"/>
      <c r="H386" s="49" t="s">
        <v>522</v>
      </c>
      <c r="I386" s="49" t="s">
        <v>115</v>
      </c>
      <c r="J386" s="76">
        <v>-1377</v>
      </c>
      <c r="K386" s="83" t="str">
        <f>IFERROR(IFERROR(VLOOKUP(I386,'DE-PARA'!B:D,3,0),VLOOKUP(I386,'DE-PARA'!C:D,2,0)),"NÃO ENCONTRADO")</f>
        <v>Serviços</v>
      </c>
      <c r="L386" s="50" t="str">
        <f>VLOOKUP(K386,'Base -Receita-Despesa'!$B:$P,1,FALSE)</f>
        <v>Serviços</v>
      </c>
    </row>
    <row r="387" spans="1:12" ht="15" customHeight="1" x14ac:dyDescent="0.3">
      <c r="A387" s="82" t="str">
        <f t="shared" si="10"/>
        <v>2016</v>
      </c>
      <c r="B387" s="72" t="s">
        <v>131</v>
      </c>
      <c r="C387" s="73" t="s">
        <v>132</v>
      </c>
      <c r="D387" s="74" t="str">
        <f t="shared" si="11"/>
        <v>fev/2016</v>
      </c>
      <c r="E387" s="53">
        <v>42422</v>
      </c>
      <c r="F387" s="75" t="s">
        <v>199</v>
      </c>
      <c r="G387" s="72"/>
      <c r="H387" s="49" t="s">
        <v>523</v>
      </c>
      <c r="I387" s="49" t="s">
        <v>192</v>
      </c>
      <c r="J387" s="76">
        <v>-136</v>
      </c>
      <c r="K387" s="83" t="str">
        <f>IFERROR(IFERROR(VLOOKUP(I387,'DE-PARA'!B:D,3,0),VLOOKUP(I387,'DE-PARA'!C:D,2,0)),"NÃO ENCONTRADO")</f>
        <v>Materiais</v>
      </c>
      <c r="L387" s="50" t="str">
        <f>VLOOKUP(K387,'Base -Receita-Despesa'!$B:$P,1,FALSE)</f>
        <v>Materiais</v>
      </c>
    </row>
    <row r="388" spans="1:12" ht="15" customHeight="1" x14ac:dyDescent="0.3">
      <c r="A388" s="82" t="str">
        <f t="shared" ref="A388:A451" si="12">IF(K388="NÃO ENCONTRADO",0,RIGHT(D388,4))</f>
        <v>2016</v>
      </c>
      <c r="B388" s="72" t="s">
        <v>131</v>
      </c>
      <c r="C388" s="73" t="s">
        <v>132</v>
      </c>
      <c r="D388" s="74" t="str">
        <f t="shared" ref="D388:D451" si="13">TEXT(E388,"mmm/aaaa")</f>
        <v>fev/2016</v>
      </c>
      <c r="E388" s="53">
        <v>42422</v>
      </c>
      <c r="F388" s="75" t="s">
        <v>424</v>
      </c>
      <c r="G388" s="72"/>
      <c r="H388" s="49" t="s">
        <v>207</v>
      </c>
      <c r="I388" s="49" t="s">
        <v>206</v>
      </c>
      <c r="J388" s="76">
        <v>-5500</v>
      </c>
      <c r="K388" s="83" t="str">
        <f>IFERROR(IFERROR(VLOOKUP(I388,'DE-PARA'!B:D,3,0),VLOOKUP(I388,'DE-PARA'!C:D,2,0)),"NÃO ENCONTRADO")</f>
        <v>Serviços</v>
      </c>
      <c r="L388" s="50" t="str">
        <f>VLOOKUP(K388,'Base -Receita-Despesa'!$B:$P,1,FALSE)</f>
        <v>Serviços</v>
      </c>
    </row>
    <row r="389" spans="1:12" ht="15" customHeight="1" x14ac:dyDescent="0.3">
      <c r="A389" s="82" t="str">
        <f t="shared" si="12"/>
        <v>2016</v>
      </c>
      <c r="B389" s="72" t="s">
        <v>131</v>
      </c>
      <c r="C389" s="73" t="s">
        <v>132</v>
      </c>
      <c r="D389" s="74" t="str">
        <f t="shared" si="13"/>
        <v>fev/2016</v>
      </c>
      <c r="E389" s="53">
        <v>42422</v>
      </c>
      <c r="F389" s="75" t="s">
        <v>381</v>
      </c>
      <c r="G389" s="72"/>
      <c r="H389" s="49" t="s">
        <v>382</v>
      </c>
      <c r="I389" s="49" t="s">
        <v>159</v>
      </c>
      <c r="J389" s="76">
        <v>-1805.89</v>
      </c>
      <c r="K389" s="83" t="str">
        <f>IFERROR(IFERROR(VLOOKUP(I389,'DE-PARA'!B:D,3,0),VLOOKUP(I389,'DE-PARA'!C:D,2,0)),"NÃO ENCONTRADO")</f>
        <v>Materiais</v>
      </c>
      <c r="L389" s="50" t="str">
        <f>VLOOKUP(K389,'Base -Receita-Despesa'!$B:$P,1,FALSE)</f>
        <v>Materiais</v>
      </c>
    </row>
    <row r="390" spans="1:12" ht="15" customHeight="1" x14ac:dyDescent="0.3">
      <c r="A390" s="82" t="str">
        <f t="shared" si="12"/>
        <v>2016</v>
      </c>
      <c r="B390" s="72" t="s">
        <v>131</v>
      </c>
      <c r="C390" s="73" t="s">
        <v>132</v>
      </c>
      <c r="D390" s="74" t="str">
        <f t="shared" si="13"/>
        <v>fev/2016</v>
      </c>
      <c r="E390" s="53">
        <v>42422</v>
      </c>
      <c r="F390" s="75" t="s">
        <v>524</v>
      </c>
      <c r="G390" s="72"/>
      <c r="H390" s="49" t="s">
        <v>211</v>
      </c>
      <c r="I390" s="49" t="s">
        <v>157</v>
      </c>
      <c r="J390" s="76">
        <v>-7000</v>
      </c>
      <c r="K390" s="83" t="str">
        <f>IFERROR(IFERROR(VLOOKUP(I390,'DE-PARA'!B:D,3,0),VLOOKUP(I390,'DE-PARA'!C:D,2,0)),"NÃO ENCONTRADO")</f>
        <v>Concessionárias (água, luz e telefone)</v>
      </c>
      <c r="L390" s="50" t="str">
        <f>VLOOKUP(K390,'Base -Receita-Despesa'!$B:$P,1,FALSE)</f>
        <v>Concessionárias (água, luz e telefone)</v>
      </c>
    </row>
    <row r="391" spans="1:12" ht="15" customHeight="1" x14ac:dyDescent="0.3">
      <c r="A391" s="82" t="str">
        <f t="shared" si="12"/>
        <v>2016</v>
      </c>
      <c r="B391" s="72" t="s">
        <v>131</v>
      </c>
      <c r="C391" s="73" t="s">
        <v>132</v>
      </c>
      <c r="D391" s="74" t="str">
        <f t="shared" si="13"/>
        <v>fev/2016</v>
      </c>
      <c r="E391" s="53">
        <v>42422</v>
      </c>
      <c r="F391" s="75" t="s">
        <v>525</v>
      </c>
      <c r="G391" s="72"/>
      <c r="H391" s="49" t="s">
        <v>225</v>
      </c>
      <c r="I391" s="49" t="s">
        <v>110</v>
      </c>
      <c r="J391" s="76">
        <v>-1400</v>
      </c>
      <c r="K391" s="83" t="str">
        <f>IFERROR(IFERROR(VLOOKUP(I391,'DE-PARA'!B:D,3,0),VLOOKUP(I391,'DE-PARA'!C:D,2,0)),"NÃO ENCONTRADO")</f>
        <v>Serviços</v>
      </c>
      <c r="L391" s="50" t="str">
        <f>VLOOKUP(K391,'Base -Receita-Despesa'!$B:$P,1,FALSE)</f>
        <v>Serviços</v>
      </c>
    </row>
    <row r="392" spans="1:12" ht="15" customHeight="1" x14ac:dyDescent="0.3">
      <c r="A392" s="82" t="str">
        <f t="shared" si="12"/>
        <v>2016</v>
      </c>
      <c r="B392" s="72" t="s">
        <v>131</v>
      </c>
      <c r="C392" s="73" t="s">
        <v>132</v>
      </c>
      <c r="D392" s="74" t="str">
        <f t="shared" si="13"/>
        <v>fev/2016</v>
      </c>
      <c r="E392" s="53">
        <v>42422</v>
      </c>
      <c r="F392" s="75" t="s">
        <v>526</v>
      </c>
      <c r="G392" s="72"/>
      <c r="H392" s="49" t="s">
        <v>225</v>
      </c>
      <c r="I392" s="49" t="s">
        <v>110</v>
      </c>
      <c r="J392" s="76">
        <v>-9744</v>
      </c>
      <c r="K392" s="83" t="str">
        <f>IFERROR(IFERROR(VLOOKUP(I392,'DE-PARA'!B:D,3,0),VLOOKUP(I392,'DE-PARA'!C:D,2,0)),"NÃO ENCONTRADO")</f>
        <v>Serviços</v>
      </c>
      <c r="L392" s="50" t="str">
        <f>VLOOKUP(K392,'Base -Receita-Despesa'!$B:$P,1,FALSE)</f>
        <v>Serviços</v>
      </c>
    </row>
    <row r="393" spans="1:12" ht="15" customHeight="1" x14ac:dyDescent="0.3">
      <c r="A393" s="82" t="str">
        <f t="shared" si="12"/>
        <v>2016</v>
      </c>
      <c r="B393" s="72" t="s">
        <v>131</v>
      </c>
      <c r="C393" s="73" t="s">
        <v>132</v>
      </c>
      <c r="D393" s="74" t="str">
        <f t="shared" si="13"/>
        <v>fev/2016</v>
      </c>
      <c r="E393" s="53">
        <v>42422</v>
      </c>
      <c r="F393" s="75" t="s">
        <v>199</v>
      </c>
      <c r="G393" s="72"/>
      <c r="H393" s="49" t="s">
        <v>383</v>
      </c>
      <c r="I393" s="49" t="s">
        <v>192</v>
      </c>
      <c r="J393" s="76">
        <v>-287.56</v>
      </c>
      <c r="K393" s="83" t="str">
        <f>IFERROR(IFERROR(VLOOKUP(I393,'DE-PARA'!B:D,3,0),VLOOKUP(I393,'DE-PARA'!C:D,2,0)),"NÃO ENCONTRADO")</f>
        <v>Materiais</v>
      </c>
      <c r="L393" s="50" t="str">
        <f>VLOOKUP(K393,'Base -Receita-Despesa'!$B:$P,1,FALSE)</f>
        <v>Materiais</v>
      </c>
    </row>
    <row r="394" spans="1:12" ht="15" customHeight="1" x14ac:dyDescent="0.3">
      <c r="A394" s="82" t="str">
        <f t="shared" si="12"/>
        <v>2016</v>
      </c>
      <c r="B394" s="72" t="s">
        <v>131</v>
      </c>
      <c r="C394" s="73" t="s">
        <v>132</v>
      </c>
      <c r="D394" s="74" t="str">
        <f t="shared" si="13"/>
        <v>fev/2016</v>
      </c>
      <c r="E394" s="53">
        <v>42422</v>
      </c>
      <c r="F394" s="75">
        <v>539824</v>
      </c>
      <c r="G394" s="72"/>
      <c r="H394" s="49" t="s">
        <v>383</v>
      </c>
      <c r="I394" s="49" t="s">
        <v>192</v>
      </c>
      <c r="J394" s="76">
        <v>-287.56</v>
      </c>
      <c r="K394" s="83" t="str">
        <f>IFERROR(IFERROR(VLOOKUP(I394,'DE-PARA'!B:D,3,0),VLOOKUP(I394,'DE-PARA'!C:D,2,0)),"NÃO ENCONTRADO")</f>
        <v>Materiais</v>
      </c>
      <c r="L394" s="50" t="str">
        <f>VLOOKUP(K394,'Base -Receita-Despesa'!$B:$P,1,FALSE)</f>
        <v>Materiais</v>
      </c>
    </row>
    <row r="395" spans="1:12" ht="15" customHeight="1" x14ac:dyDescent="0.3">
      <c r="A395" s="82" t="str">
        <f t="shared" si="12"/>
        <v>2016</v>
      </c>
      <c r="B395" s="72" t="s">
        <v>131</v>
      </c>
      <c r="C395" s="73" t="s">
        <v>132</v>
      </c>
      <c r="D395" s="74" t="str">
        <f t="shared" si="13"/>
        <v>fev/2016</v>
      </c>
      <c r="E395" s="53">
        <v>42423</v>
      </c>
      <c r="F395" s="75" t="s">
        <v>527</v>
      </c>
      <c r="G395" s="72"/>
      <c r="H395" s="49" t="s">
        <v>528</v>
      </c>
      <c r="I395" s="49" t="s">
        <v>529</v>
      </c>
      <c r="J395" s="76">
        <v>-21.14</v>
      </c>
      <c r="K395" s="83" t="str">
        <f>IFERROR(IFERROR(VLOOKUP(I395,'DE-PARA'!B:D,3,0),VLOOKUP(I395,'DE-PARA'!C:D,2,0)),"NÃO ENCONTRADO")</f>
        <v>Tributos, Taxas e Contribuições</v>
      </c>
      <c r="L395" s="50" t="str">
        <f>VLOOKUP(K395,'Base -Receita-Despesa'!$B:$P,1,FALSE)</f>
        <v>Tributos, Taxas e Contribuições</v>
      </c>
    </row>
    <row r="396" spans="1:12" ht="15" customHeight="1" x14ac:dyDescent="0.3">
      <c r="A396" s="82" t="str">
        <f t="shared" si="12"/>
        <v>2016</v>
      </c>
      <c r="B396" s="72" t="s">
        <v>131</v>
      </c>
      <c r="C396" s="73" t="s">
        <v>132</v>
      </c>
      <c r="D396" s="74" t="str">
        <f t="shared" si="13"/>
        <v>fev/2016</v>
      </c>
      <c r="E396" s="53">
        <v>42423</v>
      </c>
      <c r="F396" s="75" t="s">
        <v>461</v>
      </c>
      <c r="G396" s="72"/>
      <c r="H396" s="49" t="s">
        <v>514</v>
      </c>
      <c r="I396" s="49" t="s">
        <v>515</v>
      </c>
      <c r="J396" s="76">
        <v>-25000</v>
      </c>
      <c r="K396" s="83" t="str">
        <f>IFERROR(IFERROR(VLOOKUP(I396,'DE-PARA'!B:D,3,0),VLOOKUP(I396,'DE-PARA'!C:D,2,0)),"NÃO ENCONTRADO")</f>
        <v>Serviços</v>
      </c>
      <c r="L396" s="50" t="str">
        <f>VLOOKUP(K396,'Base -Receita-Despesa'!$B:$P,1,FALSE)</f>
        <v>Serviços</v>
      </c>
    </row>
    <row r="397" spans="1:12" ht="15" customHeight="1" x14ac:dyDescent="0.3">
      <c r="A397" s="82" t="str">
        <f t="shared" si="12"/>
        <v>2016</v>
      </c>
      <c r="B397" s="72" t="s">
        <v>131</v>
      </c>
      <c r="C397" s="73" t="s">
        <v>132</v>
      </c>
      <c r="D397" s="74" t="str">
        <f t="shared" si="13"/>
        <v>fev/2016</v>
      </c>
      <c r="E397" s="53">
        <v>42423</v>
      </c>
      <c r="F397" s="75" t="s">
        <v>527</v>
      </c>
      <c r="G397" s="72"/>
      <c r="H397" s="49" t="s">
        <v>530</v>
      </c>
      <c r="I397" s="49" t="s">
        <v>529</v>
      </c>
      <c r="J397" s="76">
        <v>-4940.6400000000003</v>
      </c>
      <c r="K397" s="83" t="str">
        <f>IFERROR(IFERROR(VLOOKUP(I397,'DE-PARA'!B:D,3,0),VLOOKUP(I397,'DE-PARA'!C:D,2,0)),"NÃO ENCONTRADO")</f>
        <v>Tributos, Taxas e Contribuições</v>
      </c>
      <c r="L397" s="50" t="str">
        <f>VLOOKUP(K397,'Base -Receita-Despesa'!$B:$P,1,FALSE)</f>
        <v>Tributos, Taxas e Contribuições</v>
      </c>
    </row>
    <row r="398" spans="1:12" ht="15" customHeight="1" x14ac:dyDescent="0.3">
      <c r="A398" s="82" t="str">
        <f t="shared" si="12"/>
        <v>2016</v>
      </c>
      <c r="B398" s="72" t="s">
        <v>131</v>
      </c>
      <c r="C398" s="73" t="s">
        <v>132</v>
      </c>
      <c r="D398" s="74" t="str">
        <f t="shared" si="13"/>
        <v>fev/2016</v>
      </c>
      <c r="E398" s="53">
        <v>42423</v>
      </c>
      <c r="F398" s="75" t="s">
        <v>527</v>
      </c>
      <c r="G398" s="72"/>
      <c r="H398" s="49" t="s">
        <v>530</v>
      </c>
      <c r="I398" s="49" t="s">
        <v>529</v>
      </c>
      <c r="J398" s="76">
        <v>-317.41000000000003</v>
      </c>
      <c r="K398" s="83" t="str">
        <f>IFERROR(IFERROR(VLOOKUP(I398,'DE-PARA'!B:D,3,0),VLOOKUP(I398,'DE-PARA'!C:D,2,0)),"NÃO ENCONTRADO")</f>
        <v>Tributos, Taxas e Contribuições</v>
      </c>
      <c r="L398" s="50" t="str">
        <f>VLOOKUP(K398,'Base -Receita-Despesa'!$B:$P,1,FALSE)</f>
        <v>Tributos, Taxas e Contribuições</v>
      </c>
    </row>
    <row r="399" spans="1:12" ht="15" customHeight="1" x14ac:dyDescent="0.3">
      <c r="A399" s="82" t="str">
        <f t="shared" si="12"/>
        <v>2016</v>
      </c>
      <c r="B399" s="72" t="s">
        <v>131</v>
      </c>
      <c r="C399" s="73" t="s">
        <v>132</v>
      </c>
      <c r="D399" s="74" t="str">
        <f t="shared" si="13"/>
        <v>fev/2016</v>
      </c>
      <c r="E399" s="53">
        <v>42425</v>
      </c>
      <c r="F399" s="75" t="s">
        <v>125</v>
      </c>
      <c r="G399" s="72"/>
      <c r="H399" s="49" t="s">
        <v>531</v>
      </c>
      <c r="I399" s="49" t="s">
        <v>127</v>
      </c>
      <c r="J399" s="76">
        <v>-8184.25</v>
      </c>
      <c r="K399" s="83" t="str">
        <f>IFERROR(IFERROR(VLOOKUP(I399,'DE-PARA'!B:D,3,0),VLOOKUP(I399,'DE-PARA'!C:D,2,0)),"NÃO ENCONTRADO")</f>
        <v>Pessoal</v>
      </c>
      <c r="L399" s="50" t="str">
        <f>VLOOKUP(K399,'Base -Receita-Despesa'!$B:$P,1,FALSE)</f>
        <v>Pessoal</v>
      </c>
    </row>
    <row r="400" spans="1:12" ht="15" customHeight="1" x14ac:dyDescent="0.3">
      <c r="A400" s="82" t="str">
        <f t="shared" si="12"/>
        <v>2016</v>
      </c>
      <c r="B400" s="72" t="s">
        <v>131</v>
      </c>
      <c r="C400" s="73" t="s">
        <v>132</v>
      </c>
      <c r="D400" s="74" t="str">
        <f t="shared" si="13"/>
        <v>fev/2016</v>
      </c>
      <c r="E400" s="53">
        <v>42425</v>
      </c>
      <c r="F400" s="75" t="s">
        <v>416</v>
      </c>
      <c r="G400" s="72"/>
      <c r="H400" s="49" t="s">
        <v>328</v>
      </c>
      <c r="I400" s="49" t="s">
        <v>159</v>
      </c>
      <c r="J400" s="76">
        <v>-2901.97</v>
      </c>
      <c r="K400" s="83" t="str">
        <f>IFERROR(IFERROR(VLOOKUP(I400,'DE-PARA'!B:D,3,0),VLOOKUP(I400,'DE-PARA'!C:D,2,0)),"NÃO ENCONTRADO")</f>
        <v>Materiais</v>
      </c>
      <c r="L400" s="50" t="str">
        <f>VLOOKUP(K400,'Base -Receita-Despesa'!$B:$P,1,FALSE)</f>
        <v>Materiais</v>
      </c>
    </row>
    <row r="401" spans="1:12" ht="15" customHeight="1" x14ac:dyDescent="0.3">
      <c r="A401" s="82" t="str">
        <f t="shared" si="12"/>
        <v>2016</v>
      </c>
      <c r="B401" s="72" t="s">
        <v>131</v>
      </c>
      <c r="C401" s="73" t="s">
        <v>132</v>
      </c>
      <c r="D401" s="74" t="str">
        <f t="shared" si="13"/>
        <v>fev/2016</v>
      </c>
      <c r="E401" s="53">
        <v>42425</v>
      </c>
      <c r="F401" s="75" t="s">
        <v>532</v>
      </c>
      <c r="G401" s="72"/>
      <c r="H401" s="49" t="s">
        <v>533</v>
      </c>
      <c r="I401" s="49" t="s">
        <v>159</v>
      </c>
      <c r="J401" s="76">
        <v>-603.20000000000005</v>
      </c>
      <c r="K401" s="83" t="str">
        <f>IFERROR(IFERROR(VLOOKUP(I401,'DE-PARA'!B:D,3,0),VLOOKUP(I401,'DE-PARA'!C:D,2,0)),"NÃO ENCONTRADO")</f>
        <v>Materiais</v>
      </c>
      <c r="L401" s="50" t="str">
        <f>VLOOKUP(K401,'Base -Receita-Despesa'!$B:$P,1,FALSE)</f>
        <v>Materiais</v>
      </c>
    </row>
    <row r="402" spans="1:12" ht="15" customHeight="1" x14ac:dyDescent="0.3">
      <c r="A402" s="82" t="str">
        <f t="shared" si="12"/>
        <v>2016</v>
      </c>
      <c r="B402" s="72" t="s">
        <v>131</v>
      </c>
      <c r="C402" s="73" t="s">
        <v>132</v>
      </c>
      <c r="D402" s="74" t="str">
        <f t="shared" si="13"/>
        <v>fev/2016</v>
      </c>
      <c r="E402" s="53">
        <v>42425</v>
      </c>
      <c r="F402" s="75" t="s">
        <v>125</v>
      </c>
      <c r="G402" s="72"/>
      <c r="H402" s="49" t="s">
        <v>534</v>
      </c>
      <c r="I402" s="49" t="s">
        <v>127</v>
      </c>
      <c r="J402" s="76">
        <v>-1408.66</v>
      </c>
      <c r="K402" s="83" t="str">
        <f>IFERROR(IFERROR(VLOOKUP(I402,'DE-PARA'!B:D,3,0),VLOOKUP(I402,'DE-PARA'!C:D,2,0)),"NÃO ENCONTRADO")</f>
        <v>Pessoal</v>
      </c>
      <c r="L402" s="50" t="str">
        <f>VLOOKUP(K402,'Base -Receita-Despesa'!$B:$P,1,FALSE)</f>
        <v>Pessoal</v>
      </c>
    </row>
    <row r="403" spans="1:12" ht="15" customHeight="1" x14ac:dyDescent="0.3">
      <c r="A403" s="82" t="str">
        <f t="shared" si="12"/>
        <v>2016</v>
      </c>
      <c r="B403" s="72" t="s">
        <v>131</v>
      </c>
      <c r="C403" s="73" t="s">
        <v>132</v>
      </c>
      <c r="D403" s="74" t="str">
        <f t="shared" si="13"/>
        <v>fev/2016</v>
      </c>
      <c r="E403" s="53">
        <v>42425</v>
      </c>
      <c r="F403" s="75">
        <v>239462</v>
      </c>
      <c r="G403" s="72"/>
      <c r="H403" s="49" t="s">
        <v>534</v>
      </c>
      <c r="I403" s="49" t="s">
        <v>127</v>
      </c>
      <c r="J403" s="76">
        <v>-1408.66</v>
      </c>
      <c r="K403" s="83" t="str">
        <f>IFERROR(IFERROR(VLOOKUP(I403,'DE-PARA'!B:D,3,0),VLOOKUP(I403,'DE-PARA'!C:D,2,0)),"NÃO ENCONTRADO")</f>
        <v>Pessoal</v>
      </c>
      <c r="L403" s="50" t="str">
        <f>VLOOKUP(K403,'Base -Receita-Despesa'!$B:$P,1,FALSE)</f>
        <v>Pessoal</v>
      </c>
    </row>
    <row r="404" spans="1:12" ht="15" customHeight="1" x14ac:dyDescent="0.3">
      <c r="A404" s="82" t="str">
        <f t="shared" si="12"/>
        <v>2016</v>
      </c>
      <c r="B404" s="72" t="s">
        <v>131</v>
      </c>
      <c r="C404" s="73" t="s">
        <v>132</v>
      </c>
      <c r="D404" s="74" t="str">
        <f t="shared" si="13"/>
        <v>fev/2016</v>
      </c>
      <c r="E404" s="53">
        <v>42425</v>
      </c>
      <c r="F404" s="75" t="s">
        <v>136</v>
      </c>
      <c r="G404" s="72"/>
      <c r="H404" s="49" t="s">
        <v>236</v>
      </c>
      <c r="I404" s="49" t="s">
        <v>129</v>
      </c>
      <c r="J404" s="76">
        <v>-25.3</v>
      </c>
      <c r="K404" s="83" t="str">
        <f>IFERROR(IFERROR(VLOOKUP(I404,'DE-PARA'!B:D,3,0),VLOOKUP(I404,'DE-PARA'!C:D,2,0)),"NÃO ENCONTRADO")</f>
        <v>Outras Saídas</v>
      </c>
      <c r="L404" s="50" t="str">
        <f>VLOOKUP(K404,'Base -Receita-Despesa'!$B:$P,1,FALSE)</f>
        <v>Outras Saídas</v>
      </c>
    </row>
    <row r="405" spans="1:12" ht="15" customHeight="1" x14ac:dyDescent="0.3">
      <c r="A405" s="82" t="str">
        <f t="shared" si="12"/>
        <v>2016</v>
      </c>
      <c r="B405" s="72" t="s">
        <v>131</v>
      </c>
      <c r="C405" s="73" t="s">
        <v>132</v>
      </c>
      <c r="D405" s="74" t="str">
        <f t="shared" si="13"/>
        <v>fev/2016</v>
      </c>
      <c r="E405" s="53">
        <v>42425</v>
      </c>
      <c r="F405" s="75" t="s">
        <v>535</v>
      </c>
      <c r="G405" s="72"/>
      <c r="H405" s="49" t="s">
        <v>536</v>
      </c>
      <c r="I405" s="49" t="s">
        <v>194</v>
      </c>
      <c r="J405" s="76">
        <v>-1600</v>
      </c>
      <c r="K405" s="83" t="str">
        <f>IFERROR(IFERROR(VLOOKUP(I405,'DE-PARA'!B:D,3,0),VLOOKUP(I405,'DE-PARA'!C:D,2,0)),"NÃO ENCONTRADO")</f>
        <v>Despesas com Viagens</v>
      </c>
      <c r="L405" s="50" t="str">
        <f>VLOOKUP(K405,'Base -Receita-Despesa'!$B:$P,1,FALSE)</f>
        <v>Despesas com Viagens</v>
      </c>
    </row>
    <row r="406" spans="1:12" ht="15" customHeight="1" x14ac:dyDescent="0.3">
      <c r="A406" s="82" t="str">
        <f t="shared" si="12"/>
        <v>2016</v>
      </c>
      <c r="B406" s="72" t="s">
        <v>131</v>
      </c>
      <c r="C406" s="73" t="s">
        <v>132</v>
      </c>
      <c r="D406" s="74" t="str">
        <f t="shared" si="13"/>
        <v>fev/2016</v>
      </c>
      <c r="E406" s="53">
        <v>42425</v>
      </c>
      <c r="F406" s="75" t="s">
        <v>537</v>
      </c>
      <c r="G406" s="72"/>
      <c r="H406" s="49" t="s">
        <v>182</v>
      </c>
      <c r="I406" s="49" t="s">
        <v>138</v>
      </c>
      <c r="J406" s="76">
        <v>-6475.65</v>
      </c>
      <c r="K406" s="83" t="str">
        <f>IFERROR(IFERROR(VLOOKUP(I406,'DE-PARA'!B:D,3,0),VLOOKUP(I406,'DE-PARA'!C:D,2,0)),"NÃO ENCONTRADO")</f>
        <v>Serviços</v>
      </c>
      <c r="L406" s="50" t="str">
        <f>VLOOKUP(K406,'Base -Receita-Despesa'!$B:$P,1,FALSE)</f>
        <v>Serviços</v>
      </c>
    </row>
    <row r="407" spans="1:12" ht="15" customHeight="1" x14ac:dyDescent="0.3">
      <c r="A407" s="82" t="str">
        <f t="shared" si="12"/>
        <v>2016</v>
      </c>
      <c r="B407" s="72" t="s">
        <v>131</v>
      </c>
      <c r="C407" s="73" t="s">
        <v>132</v>
      </c>
      <c r="D407" s="74" t="str">
        <f t="shared" si="13"/>
        <v>fev/2016</v>
      </c>
      <c r="E407" s="53">
        <v>42426</v>
      </c>
      <c r="F407" s="75" t="s">
        <v>125</v>
      </c>
      <c r="G407" s="72"/>
      <c r="H407" s="49" t="s">
        <v>538</v>
      </c>
      <c r="I407" s="49" t="s">
        <v>127</v>
      </c>
      <c r="J407" s="76">
        <v>-2624.91</v>
      </c>
      <c r="K407" s="83" t="str">
        <f>IFERROR(IFERROR(VLOOKUP(I407,'DE-PARA'!B:D,3,0),VLOOKUP(I407,'DE-PARA'!C:D,2,0)),"NÃO ENCONTRADO")</f>
        <v>Pessoal</v>
      </c>
      <c r="L407" s="50" t="str">
        <f>VLOOKUP(K407,'Base -Receita-Despesa'!$B:$P,1,FALSE)</f>
        <v>Pessoal</v>
      </c>
    </row>
    <row r="408" spans="1:12" ht="15" customHeight="1" x14ac:dyDescent="0.3">
      <c r="A408" s="82" t="str">
        <f t="shared" si="12"/>
        <v>2016</v>
      </c>
      <c r="B408" s="72" t="s">
        <v>131</v>
      </c>
      <c r="C408" s="73" t="s">
        <v>132</v>
      </c>
      <c r="D408" s="74" t="str">
        <f t="shared" si="13"/>
        <v>fev/2016</v>
      </c>
      <c r="E408" s="53">
        <v>42426</v>
      </c>
      <c r="F408" s="75" t="s">
        <v>125</v>
      </c>
      <c r="G408" s="72"/>
      <c r="H408" s="49" t="s">
        <v>539</v>
      </c>
      <c r="I408" s="49" t="s">
        <v>127</v>
      </c>
      <c r="J408" s="76">
        <v>-2312.27</v>
      </c>
      <c r="K408" s="83" t="str">
        <f>IFERROR(IFERROR(VLOOKUP(I408,'DE-PARA'!B:D,3,0),VLOOKUP(I408,'DE-PARA'!C:D,2,0)),"NÃO ENCONTRADO")</f>
        <v>Pessoal</v>
      </c>
      <c r="L408" s="50" t="str">
        <f>VLOOKUP(K408,'Base -Receita-Despesa'!$B:$P,1,FALSE)</f>
        <v>Pessoal</v>
      </c>
    </row>
    <row r="409" spans="1:12" ht="15" customHeight="1" x14ac:dyDescent="0.3">
      <c r="A409" s="82" t="str">
        <f t="shared" si="12"/>
        <v>2016</v>
      </c>
      <c r="B409" s="72" t="s">
        <v>131</v>
      </c>
      <c r="C409" s="73" t="s">
        <v>132</v>
      </c>
      <c r="D409" s="74" t="str">
        <f t="shared" si="13"/>
        <v>fev/2016</v>
      </c>
      <c r="E409" s="53">
        <v>42426</v>
      </c>
      <c r="F409" s="75" t="s">
        <v>125</v>
      </c>
      <c r="G409" s="72"/>
      <c r="H409" s="49" t="s">
        <v>540</v>
      </c>
      <c r="I409" s="49" t="s">
        <v>127</v>
      </c>
      <c r="J409" s="76">
        <v>-2399.2800000000002</v>
      </c>
      <c r="K409" s="83" t="str">
        <f>IFERROR(IFERROR(VLOOKUP(I409,'DE-PARA'!B:D,3,0),VLOOKUP(I409,'DE-PARA'!C:D,2,0)),"NÃO ENCONTRADO")</f>
        <v>Pessoal</v>
      </c>
      <c r="L409" s="50" t="str">
        <f>VLOOKUP(K409,'Base -Receita-Despesa'!$B:$P,1,FALSE)</f>
        <v>Pessoal</v>
      </c>
    </row>
    <row r="410" spans="1:12" ht="15" customHeight="1" x14ac:dyDescent="0.3">
      <c r="A410" s="82" t="str">
        <f t="shared" si="12"/>
        <v>2016</v>
      </c>
      <c r="B410" s="72" t="s">
        <v>131</v>
      </c>
      <c r="C410" s="73" t="s">
        <v>132</v>
      </c>
      <c r="D410" s="74" t="str">
        <f t="shared" si="13"/>
        <v>fev/2016</v>
      </c>
      <c r="E410" s="53">
        <v>42426</v>
      </c>
      <c r="F410" s="75" t="s">
        <v>359</v>
      </c>
      <c r="G410" s="72"/>
      <c r="H410" s="49" t="s">
        <v>222</v>
      </c>
      <c r="I410" s="49" t="s">
        <v>223</v>
      </c>
      <c r="J410" s="76">
        <v>-1928.66</v>
      </c>
      <c r="K410" s="83" t="str">
        <f>IFERROR(IFERROR(VLOOKUP(I410,'DE-PARA'!B:D,3,0),VLOOKUP(I410,'DE-PARA'!C:D,2,0)),"NÃO ENCONTRADO")</f>
        <v>Materiais</v>
      </c>
      <c r="L410" s="50" t="str">
        <f>VLOOKUP(K410,'Base -Receita-Despesa'!$B:$P,1,FALSE)</f>
        <v>Materiais</v>
      </c>
    </row>
    <row r="411" spans="1:12" ht="15" customHeight="1" x14ac:dyDescent="0.3">
      <c r="A411" s="82" t="str">
        <f t="shared" si="12"/>
        <v>2016</v>
      </c>
      <c r="B411" s="72" t="s">
        <v>131</v>
      </c>
      <c r="C411" s="73" t="s">
        <v>132</v>
      </c>
      <c r="D411" s="74" t="str">
        <f t="shared" si="13"/>
        <v>fev/2016</v>
      </c>
      <c r="E411" s="53">
        <v>42426</v>
      </c>
      <c r="F411" s="75" t="s">
        <v>125</v>
      </c>
      <c r="G411" s="72"/>
      <c r="H411" s="49" t="s">
        <v>541</v>
      </c>
      <c r="I411" s="49" t="s">
        <v>127</v>
      </c>
      <c r="J411" s="76">
        <v>-4660.93</v>
      </c>
      <c r="K411" s="83" t="str">
        <f>IFERROR(IFERROR(VLOOKUP(I411,'DE-PARA'!B:D,3,0),VLOOKUP(I411,'DE-PARA'!C:D,2,0)),"NÃO ENCONTRADO")</f>
        <v>Pessoal</v>
      </c>
      <c r="L411" s="50" t="str">
        <f>VLOOKUP(K411,'Base -Receita-Despesa'!$B:$P,1,FALSE)</f>
        <v>Pessoal</v>
      </c>
    </row>
    <row r="412" spans="1:12" ht="15" customHeight="1" x14ac:dyDescent="0.3">
      <c r="A412" s="82" t="str">
        <f t="shared" si="12"/>
        <v>2016</v>
      </c>
      <c r="B412" s="72" t="s">
        <v>131</v>
      </c>
      <c r="C412" s="73" t="s">
        <v>132</v>
      </c>
      <c r="D412" s="74" t="str">
        <f t="shared" si="13"/>
        <v>fev/2016</v>
      </c>
      <c r="E412" s="53">
        <v>42426</v>
      </c>
      <c r="F412" s="75" t="s">
        <v>125</v>
      </c>
      <c r="G412" s="72"/>
      <c r="H412" s="49" t="s">
        <v>542</v>
      </c>
      <c r="I412" s="49" t="s">
        <v>127</v>
      </c>
      <c r="J412" s="76">
        <v>-2926.4</v>
      </c>
      <c r="K412" s="83" t="str">
        <f>IFERROR(IFERROR(VLOOKUP(I412,'DE-PARA'!B:D,3,0),VLOOKUP(I412,'DE-PARA'!C:D,2,0)),"NÃO ENCONTRADO")</f>
        <v>Pessoal</v>
      </c>
      <c r="L412" s="50" t="str">
        <f>VLOOKUP(K412,'Base -Receita-Despesa'!$B:$P,1,FALSE)</f>
        <v>Pessoal</v>
      </c>
    </row>
    <row r="413" spans="1:12" ht="15" customHeight="1" x14ac:dyDescent="0.3">
      <c r="A413" s="82" t="str">
        <f t="shared" si="12"/>
        <v>2016</v>
      </c>
      <c r="B413" s="72" t="s">
        <v>131</v>
      </c>
      <c r="C413" s="73" t="s">
        <v>132</v>
      </c>
      <c r="D413" s="74" t="str">
        <f t="shared" si="13"/>
        <v>fev/2016</v>
      </c>
      <c r="E413" s="53">
        <v>42426</v>
      </c>
      <c r="F413" s="75" t="s">
        <v>125</v>
      </c>
      <c r="G413" s="72"/>
      <c r="H413" s="49" t="s">
        <v>543</v>
      </c>
      <c r="I413" s="49" t="s">
        <v>127</v>
      </c>
      <c r="J413" s="76">
        <v>-4071.59</v>
      </c>
      <c r="K413" s="83" t="str">
        <f>IFERROR(IFERROR(VLOOKUP(I413,'DE-PARA'!B:D,3,0),VLOOKUP(I413,'DE-PARA'!C:D,2,0)),"NÃO ENCONTRADO")</f>
        <v>Pessoal</v>
      </c>
      <c r="L413" s="50" t="str">
        <f>VLOOKUP(K413,'Base -Receita-Despesa'!$B:$P,1,FALSE)</f>
        <v>Pessoal</v>
      </c>
    </row>
    <row r="414" spans="1:12" ht="15" customHeight="1" x14ac:dyDescent="0.3">
      <c r="A414" s="82" t="str">
        <f t="shared" si="12"/>
        <v>2016</v>
      </c>
      <c r="B414" s="72" t="s">
        <v>238</v>
      </c>
      <c r="C414" s="73" t="s">
        <v>132</v>
      </c>
      <c r="D414" s="74" t="str">
        <f t="shared" si="13"/>
        <v>fev/2016</v>
      </c>
      <c r="E414" s="53">
        <v>42428</v>
      </c>
      <c r="F414" s="75" t="s">
        <v>239</v>
      </c>
      <c r="G414" s="72"/>
      <c r="H414" s="49" t="s">
        <v>544</v>
      </c>
      <c r="I414" s="49" t="s">
        <v>240</v>
      </c>
      <c r="J414" s="76">
        <v>1821.84</v>
      </c>
      <c r="K414" s="83" t="str">
        <f>IFERROR(IFERROR(VLOOKUP(I414,'DE-PARA'!B:D,3,0),VLOOKUP(I414,'DE-PARA'!C:D,2,0)),"NÃO ENCONTRADO")</f>
        <v>Rendimentos sobre Aplicações Financeiras</v>
      </c>
      <c r="L414" s="50" t="str">
        <f>VLOOKUP(K414,'Base -Receita-Despesa'!$B:$P,1,FALSE)</f>
        <v>Rendimentos sobre Aplicações Financeiras</v>
      </c>
    </row>
    <row r="415" spans="1:12" ht="15" customHeight="1" x14ac:dyDescent="0.3">
      <c r="A415" s="82" t="str">
        <f t="shared" si="12"/>
        <v>2016</v>
      </c>
      <c r="B415" s="72" t="s">
        <v>131</v>
      </c>
      <c r="C415" s="73" t="s">
        <v>132</v>
      </c>
      <c r="D415" s="74" t="str">
        <f t="shared" si="13"/>
        <v>fev/2016</v>
      </c>
      <c r="E415" s="53">
        <v>42429</v>
      </c>
      <c r="F415" s="75" t="s">
        <v>545</v>
      </c>
      <c r="G415" s="72"/>
      <c r="H415" s="49" t="s">
        <v>209</v>
      </c>
      <c r="I415" s="49" t="s">
        <v>210</v>
      </c>
      <c r="J415" s="76">
        <v>-1750</v>
      </c>
      <c r="K415" s="83" t="str">
        <f>IFERROR(IFERROR(VLOOKUP(I415,'DE-PARA'!B:D,3,0),VLOOKUP(I415,'DE-PARA'!C:D,2,0)),"NÃO ENCONTRADO")</f>
        <v>Investimentos</v>
      </c>
      <c r="L415" s="50" t="str">
        <f>VLOOKUP(K415,'Base -Receita-Despesa'!$B:$P,1,FALSE)</f>
        <v>Investimentos</v>
      </c>
    </row>
    <row r="416" spans="1:12" ht="15" customHeight="1" x14ac:dyDescent="0.3">
      <c r="A416" s="82" t="str">
        <f t="shared" si="12"/>
        <v>2016</v>
      </c>
      <c r="B416" s="72" t="s">
        <v>131</v>
      </c>
      <c r="C416" s="73" t="s">
        <v>132</v>
      </c>
      <c r="D416" s="74" t="str">
        <f t="shared" si="13"/>
        <v>fev/2016</v>
      </c>
      <c r="E416" s="53">
        <v>42429</v>
      </c>
      <c r="F416" s="75" t="s">
        <v>546</v>
      </c>
      <c r="G416" s="72"/>
      <c r="H416" s="49" t="s">
        <v>505</v>
      </c>
      <c r="I416" s="49" t="s">
        <v>144</v>
      </c>
      <c r="J416" s="76">
        <v>-1283.69</v>
      </c>
      <c r="K416" s="83" t="str">
        <f>IFERROR(IFERROR(VLOOKUP(I416,'DE-PARA'!B:D,3,0),VLOOKUP(I416,'DE-PARA'!C:D,2,0)),"NÃO ENCONTRADO")</f>
        <v>Concessionárias (água, luz e telefone)</v>
      </c>
      <c r="L416" s="50" t="str">
        <f>VLOOKUP(K416,'Base -Receita-Despesa'!$B:$P,1,FALSE)</f>
        <v>Concessionárias (água, luz e telefone)</v>
      </c>
    </row>
    <row r="417" spans="1:12" ht="15" customHeight="1" x14ac:dyDescent="0.3">
      <c r="A417" s="82" t="str">
        <f t="shared" si="12"/>
        <v>2016</v>
      </c>
      <c r="B417" s="72" t="s">
        <v>131</v>
      </c>
      <c r="C417" s="73" t="s">
        <v>132</v>
      </c>
      <c r="D417" s="74" t="str">
        <f t="shared" si="13"/>
        <v>fev/2016</v>
      </c>
      <c r="E417" s="53">
        <v>42429</v>
      </c>
      <c r="F417" s="75" t="s">
        <v>547</v>
      </c>
      <c r="G417" s="72"/>
      <c r="H417" s="49" t="s">
        <v>230</v>
      </c>
      <c r="I417" s="49" t="s">
        <v>231</v>
      </c>
      <c r="J417" s="76">
        <v>-4002.25</v>
      </c>
      <c r="K417" s="83" t="str">
        <f>IFERROR(IFERROR(VLOOKUP(I417,'DE-PARA'!B:D,3,0),VLOOKUP(I417,'DE-PARA'!C:D,2,0)),"NÃO ENCONTRADO")</f>
        <v>Serviços</v>
      </c>
      <c r="L417" s="50" t="str">
        <f>VLOOKUP(K417,'Base -Receita-Despesa'!$B:$P,1,FALSE)</f>
        <v>Serviços</v>
      </c>
    </row>
    <row r="418" spans="1:12" ht="15" customHeight="1" x14ac:dyDescent="0.3">
      <c r="A418" s="82" t="str">
        <f t="shared" si="12"/>
        <v>2016</v>
      </c>
      <c r="B418" s="72" t="s">
        <v>131</v>
      </c>
      <c r="C418" s="73" t="s">
        <v>132</v>
      </c>
      <c r="D418" s="74" t="str">
        <f t="shared" si="13"/>
        <v>fev/2016</v>
      </c>
      <c r="E418" s="53">
        <v>42429</v>
      </c>
      <c r="F418" s="75" t="s">
        <v>164</v>
      </c>
      <c r="G418" s="72"/>
      <c r="H418" s="49" t="s">
        <v>393</v>
      </c>
      <c r="I418" s="49" t="s">
        <v>168</v>
      </c>
      <c r="J418" s="76">
        <v>-222.96</v>
      </c>
      <c r="K418" s="83" t="str">
        <f>IFERROR(IFERROR(VLOOKUP(I418,'DE-PARA'!B:D,3,0),VLOOKUP(I418,'DE-PARA'!C:D,2,0)),"NÃO ENCONTRADO")</f>
        <v>Pessoal</v>
      </c>
      <c r="L418" s="50" t="str">
        <f>VLOOKUP(K418,'Base -Receita-Despesa'!$B:$P,1,FALSE)</f>
        <v>Pessoal</v>
      </c>
    </row>
    <row r="419" spans="1:12" ht="15" customHeight="1" x14ac:dyDescent="0.3">
      <c r="A419" s="82" t="str">
        <f t="shared" si="12"/>
        <v>2016</v>
      </c>
      <c r="B419" s="72" t="s">
        <v>131</v>
      </c>
      <c r="C419" s="73" t="s">
        <v>132</v>
      </c>
      <c r="D419" s="74" t="str">
        <f t="shared" si="13"/>
        <v>mar/2016</v>
      </c>
      <c r="E419" s="53">
        <v>42430</v>
      </c>
      <c r="F419" s="75" t="s">
        <v>548</v>
      </c>
      <c r="G419" s="72"/>
      <c r="H419" s="49" t="s">
        <v>130</v>
      </c>
      <c r="I419" s="49" t="s">
        <v>129</v>
      </c>
      <c r="J419" s="76">
        <v>62.8</v>
      </c>
      <c r="K419" s="83" t="str">
        <f>IFERROR(IFERROR(VLOOKUP(I419,'DE-PARA'!B:D,3,0),VLOOKUP(I419,'DE-PARA'!C:D,2,0)),"NÃO ENCONTRADO")</f>
        <v>Outras Saídas</v>
      </c>
      <c r="L419" s="50" t="str">
        <f>VLOOKUP(K419,'Base -Receita-Despesa'!$B:$P,1,FALSE)</f>
        <v>Outras Saídas</v>
      </c>
    </row>
    <row r="420" spans="1:12" ht="15" customHeight="1" x14ac:dyDescent="0.3">
      <c r="A420" s="82" t="str">
        <f t="shared" si="12"/>
        <v>2016</v>
      </c>
      <c r="B420" s="72" t="s">
        <v>131</v>
      </c>
      <c r="C420" s="73" t="s">
        <v>132</v>
      </c>
      <c r="D420" s="74" t="str">
        <f t="shared" si="13"/>
        <v>mar/2016</v>
      </c>
      <c r="E420" s="53">
        <v>42430</v>
      </c>
      <c r="F420" s="75">
        <v>311413</v>
      </c>
      <c r="G420" s="72"/>
      <c r="H420" s="49" t="s">
        <v>549</v>
      </c>
      <c r="I420" s="49" t="s">
        <v>185</v>
      </c>
      <c r="J420" s="76">
        <v>-2048.25</v>
      </c>
      <c r="K420" s="83" t="str">
        <f>IFERROR(IFERROR(VLOOKUP(I420,'DE-PARA'!B:D,3,0),VLOOKUP(I420,'DE-PARA'!C:D,2,0)),"NÃO ENCONTRADO")</f>
        <v>Encargos sobre Folha de Pagamento</v>
      </c>
      <c r="L420" s="50" t="str">
        <f>VLOOKUP(K420,'Base -Receita-Despesa'!$B:$P,1,FALSE)</f>
        <v>Encargos sobre Folha de Pagamento</v>
      </c>
    </row>
    <row r="421" spans="1:12" ht="15" customHeight="1" x14ac:dyDescent="0.3">
      <c r="A421" s="82" t="str">
        <f t="shared" si="12"/>
        <v>2016</v>
      </c>
      <c r="B421" s="72" t="s">
        <v>249</v>
      </c>
      <c r="C421" s="73" t="s">
        <v>132</v>
      </c>
      <c r="D421" s="74" t="str">
        <f t="shared" si="13"/>
        <v>mar/2016</v>
      </c>
      <c r="E421" s="53">
        <v>42430</v>
      </c>
      <c r="F421" s="75"/>
      <c r="G421" s="72"/>
      <c r="H421" s="49" t="s">
        <v>135</v>
      </c>
      <c r="I421" s="49" t="s">
        <v>135</v>
      </c>
      <c r="J421" s="76">
        <v>1294.1400000000001</v>
      </c>
      <c r="K421" s="83" t="str">
        <f>IFERROR(IFERROR(VLOOKUP(I421,'DE-PARA'!B:D,3,0),VLOOKUP(I421,'DE-PARA'!C:D,2,0)),"NÃO ENCONTRADO")</f>
        <v>Pessoal</v>
      </c>
      <c r="L421" s="50" t="str">
        <f>VLOOKUP(K421,'Base -Receita-Despesa'!$B:$P,1,FALSE)</f>
        <v>Pessoal</v>
      </c>
    </row>
    <row r="422" spans="1:12" ht="15" customHeight="1" x14ac:dyDescent="0.3">
      <c r="A422" s="82" t="str">
        <f t="shared" si="12"/>
        <v>2016</v>
      </c>
      <c r="B422" s="72" t="s">
        <v>131</v>
      </c>
      <c r="C422" s="73" t="s">
        <v>132</v>
      </c>
      <c r="D422" s="74" t="str">
        <f t="shared" si="13"/>
        <v>mar/2016</v>
      </c>
      <c r="E422" s="53">
        <v>42430</v>
      </c>
      <c r="F422" s="75" t="s">
        <v>151</v>
      </c>
      <c r="G422" s="72"/>
      <c r="H422" s="49" t="s">
        <v>152</v>
      </c>
      <c r="I422" s="49" t="s">
        <v>153</v>
      </c>
      <c r="J422" s="76">
        <v>-2000</v>
      </c>
      <c r="K422" s="83" t="str">
        <f>IFERROR(IFERROR(VLOOKUP(I422,'DE-PARA'!B:D,3,0),VLOOKUP(I422,'DE-PARA'!C:D,2,0)),"NÃO ENCONTRADO")</f>
        <v>Outras Saídas</v>
      </c>
      <c r="L422" s="50" t="str">
        <f>VLOOKUP(K422,'Base -Receita-Despesa'!$B:$P,1,FALSE)</f>
        <v>Outras Saídas</v>
      </c>
    </row>
    <row r="423" spans="1:12" ht="15" customHeight="1" x14ac:dyDescent="0.3">
      <c r="A423" s="82" t="str">
        <f t="shared" si="12"/>
        <v>2016</v>
      </c>
      <c r="B423" s="72" t="s">
        <v>131</v>
      </c>
      <c r="C423" s="73" t="s">
        <v>132</v>
      </c>
      <c r="D423" s="74" t="str">
        <f t="shared" si="13"/>
        <v>mar/2016</v>
      </c>
      <c r="E423" s="53">
        <v>42431</v>
      </c>
      <c r="F423" s="75" t="s">
        <v>548</v>
      </c>
      <c r="G423" s="72"/>
      <c r="H423" s="49" t="s">
        <v>330</v>
      </c>
      <c r="I423" s="49" t="s">
        <v>550</v>
      </c>
      <c r="J423" s="76">
        <v>0.79</v>
      </c>
      <c r="K423" s="83" t="str">
        <f>IFERROR(IFERROR(VLOOKUP(I423,'DE-PARA'!B:D,3,0),VLOOKUP(I423,'DE-PARA'!C:D,2,0)),"NÃO ENCONTRADO")</f>
        <v>Outras Saídas</v>
      </c>
      <c r="L423" s="50" t="str">
        <f>VLOOKUP(K423,'Base -Receita-Despesa'!$B:$P,1,FALSE)</f>
        <v>Outras Saídas</v>
      </c>
    </row>
    <row r="424" spans="1:12" ht="15" customHeight="1" x14ac:dyDescent="0.3">
      <c r="A424" s="82" t="str">
        <f t="shared" si="12"/>
        <v>2016</v>
      </c>
      <c r="B424" s="72" t="s">
        <v>131</v>
      </c>
      <c r="C424" s="73" t="s">
        <v>132</v>
      </c>
      <c r="D424" s="74" t="str">
        <f t="shared" si="13"/>
        <v>mar/2016</v>
      </c>
      <c r="E424" s="53">
        <v>42431</v>
      </c>
      <c r="F424" s="75" t="s">
        <v>352</v>
      </c>
      <c r="G424" s="72"/>
      <c r="H424" s="49" t="s">
        <v>353</v>
      </c>
      <c r="I424" s="49" t="s">
        <v>159</v>
      </c>
      <c r="J424" s="76">
        <v>-423.25</v>
      </c>
      <c r="K424" s="83" t="str">
        <f>IFERROR(IFERROR(VLOOKUP(I424,'DE-PARA'!B:D,3,0),VLOOKUP(I424,'DE-PARA'!C:D,2,0)),"NÃO ENCONTRADO")</f>
        <v>Materiais</v>
      </c>
      <c r="L424" s="50" t="str">
        <f>VLOOKUP(K424,'Base -Receita-Despesa'!$B:$P,1,FALSE)</f>
        <v>Materiais</v>
      </c>
    </row>
    <row r="425" spans="1:12" ht="15" customHeight="1" x14ac:dyDescent="0.3">
      <c r="A425" s="82" t="str">
        <f t="shared" si="12"/>
        <v>2016</v>
      </c>
      <c r="B425" s="72" t="s">
        <v>131</v>
      </c>
      <c r="C425" s="73" t="s">
        <v>132</v>
      </c>
      <c r="D425" s="74" t="str">
        <f t="shared" si="13"/>
        <v>mar/2016</v>
      </c>
      <c r="E425" s="53">
        <v>42431</v>
      </c>
      <c r="F425" s="75" t="s">
        <v>551</v>
      </c>
      <c r="G425" s="72"/>
      <c r="H425" s="49" t="s">
        <v>503</v>
      </c>
      <c r="I425" s="49" t="s">
        <v>159</v>
      </c>
      <c r="J425" s="76">
        <v>-1173.33</v>
      </c>
      <c r="K425" s="83" t="str">
        <f>IFERROR(IFERROR(VLOOKUP(I425,'DE-PARA'!B:D,3,0),VLOOKUP(I425,'DE-PARA'!C:D,2,0)),"NÃO ENCONTRADO")</f>
        <v>Materiais</v>
      </c>
      <c r="L425" s="50" t="str">
        <f>VLOOKUP(K425,'Base -Receita-Despesa'!$B:$P,1,FALSE)</f>
        <v>Materiais</v>
      </c>
    </row>
    <row r="426" spans="1:12" ht="15" customHeight="1" x14ac:dyDescent="0.3">
      <c r="A426" s="82" t="str">
        <f t="shared" si="12"/>
        <v>2016</v>
      </c>
      <c r="B426" s="72" t="s">
        <v>131</v>
      </c>
      <c r="C426" s="73" t="s">
        <v>132</v>
      </c>
      <c r="D426" s="74" t="str">
        <f t="shared" si="13"/>
        <v>mar/2016</v>
      </c>
      <c r="E426" s="53">
        <v>42432</v>
      </c>
      <c r="F426" s="75" t="s">
        <v>154</v>
      </c>
      <c r="G426" s="72"/>
      <c r="H426" s="49" t="s">
        <v>552</v>
      </c>
      <c r="I426" s="49" t="s">
        <v>1497</v>
      </c>
      <c r="J426" s="76">
        <v>200000</v>
      </c>
      <c r="K426" s="83" t="str">
        <f>IFERROR(IFERROR(VLOOKUP(I426,'DE-PARA'!B:D,3,0),VLOOKUP(I426,'DE-PARA'!C:D,2,0)),"NÃO ENCONTRADO")</f>
        <v>Repasses Contrato de Gestão</v>
      </c>
      <c r="L426" s="50" t="str">
        <f>VLOOKUP(K426,'Base -Receita-Despesa'!$B:$P,1,FALSE)</f>
        <v>Repasses Contrato de Gestão</v>
      </c>
    </row>
    <row r="427" spans="1:12" ht="15" customHeight="1" x14ac:dyDescent="0.3">
      <c r="A427" s="82" t="str">
        <f t="shared" si="12"/>
        <v>2016</v>
      </c>
      <c r="B427" s="72" t="s">
        <v>131</v>
      </c>
      <c r="C427" s="73" t="s">
        <v>132</v>
      </c>
      <c r="D427" s="74" t="str">
        <f t="shared" si="13"/>
        <v>mar/2016</v>
      </c>
      <c r="E427" s="53">
        <v>42432</v>
      </c>
      <c r="F427" s="75" t="s">
        <v>133</v>
      </c>
      <c r="G427" s="72"/>
      <c r="H427" s="49" t="s">
        <v>134</v>
      </c>
      <c r="I427" s="49" t="s">
        <v>135</v>
      </c>
      <c r="J427" s="76">
        <v>-31.76</v>
      </c>
      <c r="K427" s="83" t="str">
        <f>IFERROR(IFERROR(VLOOKUP(I427,'DE-PARA'!B:D,3,0),VLOOKUP(I427,'DE-PARA'!C:D,2,0)),"NÃO ENCONTRADO")</f>
        <v>Pessoal</v>
      </c>
      <c r="L427" s="50" t="str">
        <f>VLOOKUP(K427,'Base -Receita-Despesa'!$B:$P,1,FALSE)</f>
        <v>Pessoal</v>
      </c>
    </row>
    <row r="428" spans="1:12" ht="15" customHeight="1" x14ac:dyDescent="0.3">
      <c r="A428" s="82" t="str">
        <f t="shared" si="12"/>
        <v>2016</v>
      </c>
      <c r="B428" s="72" t="s">
        <v>131</v>
      </c>
      <c r="C428" s="73" t="s">
        <v>132</v>
      </c>
      <c r="D428" s="74" t="str">
        <f t="shared" si="13"/>
        <v>mar/2016</v>
      </c>
      <c r="E428" s="53">
        <v>42432</v>
      </c>
      <c r="F428" s="75" t="s">
        <v>553</v>
      </c>
      <c r="G428" s="72"/>
      <c r="H428" s="49" t="s">
        <v>140</v>
      </c>
      <c r="I428" s="49" t="s">
        <v>138</v>
      </c>
      <c r="J428" s="76">
        <v>-561.6</v>
      </c>
      <c r="K428" s="83" t="str">
        <f>IFERROR(IFERROR(VLOOKUP(I428,'DE-PARA'!B:D,3,0),VLOOKUP(I428,'DE-PARA'!C:D,2,0)),"NÃO ENCONTRADO")</f>
        <v>Serviços</v>
      </c>
      <c r="L428" s="50" t="str">
        <f>VLOOKUP(K428,'Base -Receita-Despesa'!$B:$P,1,FALSE)</f>
        <v>Serviços</v>
      </c>
    </row>
    <row r="429" spans="1:12" ht="15" customHeight="1" x14ac:dyDescent="0.3">
      <c r="A429" s="82" t="str">
        <f t="shared" si="12"/>
        <v>2016</v>
      </c>
      <c r="B429" s="72" t="s">
        <v>131</v>
      </c>
      <c r="C429" s="73" t="s">
        <v>132</v>
      </c>
      <c r="D429" s="74" t="str">
        <f t="shared" si="13"/>
        <v>mar/2016</v>
      </c>
      <c r="E429" s="53">
        <v>42432</v>
      </c>
      <c r="F429" s="75" t="s">
        <v>554</v>
      </c>
      <c r="G429" s="72"/>
      <c r="H429" s="49" t="s">
        <v>282</v>
      </c>
      <c r="I429" s="49" t="s">
        <v>110</v>
      </c>
      <c r="J429" s="76">
        <v>-762.8</v>
      </c>
      <c r="K429" s="83" t="str">
        <f>IFERROR(IFERROR(VLOOKUP(I429,'DE-PARA'!B:D,3,0),VLOOKUP(I429,'DE-PARA'!C:D,2,0)),"NÃO ENCONTRADO")</f>
        <v>Serviços</v>
      </c>
      <c r="L429" s="50" t="str">
        <f>VLOOKUP(K429,'Base -Receita-Despesa'!$B:$P,1,FALSE)</f>
        <v>Serviços</v>
      </c>
    </row>
    <row r="430" spans="1:12" ht="15" customHeight="1" x14ac:dyDescent="0.3">
      <c r="A430" s="82" t="str">
        <f t="shared" si="12"/>
        <v>2016</v>
      </c>
      <c r="B430" s="72" t="s">
        <v>131</v>
      </c>
      <c r="C430" s="73" t="s">
        <v>132</v>
      </c>
      <c r="D430" s="74" t="str">
        <f t="shared" si="13"/>
        <v>mar/2016</v>
      </c>
      <c r="E430" s="53">
        <v>42432</v>
      </c>
      <c r="F430" s="75" t="s">
        <v>133</v>
      </c>
      <c r="G430" s="72"/>
      <c r="H430" s="49" t="s">
        <v>555</v>
      </c>
      <c r="I430" s="49" t="s">
        <v>135</v>
      </c>
      <c r="J430" s="76">
        <v>-1514.19</v>
      </c>
      <c r="K430" s="83" t="str">
        <f>IFERROR(IFERROR(VLOOKUP(I430,'DE-PARA'!B:D,3,0),VLOOKUP(I430,'DE-PARA'!C:D,2,0)),"NÃO ENCONTRADO")</f>
        <v>Pessoal</v>
      </c>
      <c r="L430" s="50" t="str">
        <f>VLOOKUP(K430,'Base -Receita-Despesa'!$B:$P,1,FALSE)</f>
        <v>Pessoal</v>
      </c>
    </row>
    <row r="431" spans="1:12" ht="15" customHeight="1" x14ac:dyDescent="0.3">
      <c r="A431" s="82" t="str">
        <f t="shared" si="12"/>
        <v>2016</v>
      </c>
      <c r="B431" s="72" t="s">
        <v>131</v>
      </c>
      <c r="C431" s="73" t="s">
        <v>132</v>
      </c>
      <c r="D431" s="74" t="str">
        <f t="shared" si="13"/>
        <v>mar/2016</v>
      </c>
      <c r="E431" s="53">
        <v>42432</v>
      </c>
      <c r="F431" s="75" t="s">
        <v>556</v>
      </c>
      <c r="G431" s="72"/>
      <c r="H431" s="49" t="s">
        <v>205</v>
      </c>
      <c r="I431" s="49" t="s">
        <v>206</v>
      </c>
      <c r="J431" s="76">
        <v>-3000</v>
      </c>
      <c r="K431" s="83" t="str">
        <f>IFERROR(IFERROR(VLOOKUP(I431,'DE-PARA'!B:D,3,0),VLOOKUP(I431,'DE-PARA'!C:D,2,0)),"NÃO ENCONTRADO")</f>
        <v>Serviços</v>
      </c>
      <c r="L431" s="50" t="str">
        <f>VLOOKUP(K431,'Base -Receita-Despesa'!$B:$P,1,FALSE)</f>
        <v>Serviços</v>
      </c>
    </row>
    <row r="432" spans="1:12" ht="15" customHeight="1" x14ac:dyDescent="0.3">
      <c r="A432" s="82" t="str">
        <f t="shared" si="12"/>
        <v>2016</v>
      </c>
      <c r="B432" s="72" t="s">
        <v>131</v>
      </c>
      <c r="C432" s="73" t="s">
        <v>132</v>
      </c>
      <c r="D432" s="74" t="str">
        <f t="shared" si="13"/>
        <v>mar/2016</v>
      </c>
      <c r="E432" s="53">
        <v>42432</v>
      </c>
      <c r="F432" s="75" t="s">
        <v>133</v>
      </c>
      <c r="G432" s="72"/>
      <c r="H432" s="49" t="s">
        <v>390</v>
      </c>
      <c r="I432" s="49" t="s">
        <v>135</v>
      </c>
      <c r="J432" s="76">
        <v>-268.26</v>
      </c>
      <c r="K432" s="83" t="str">
        <f>IFERROR(IFERROR(VLOOKUP(I432,'DE-PARA'!B:D,3,0),VLOOKUP(I432,'DE-PARA'!C:D,2,0)),"NÃO ENCONTRADO")</f>
        <v>Pessoal</v>
      </c>
      <c r="L432" s="50" t="str">
        <f>VLOOKUP(K432,'Base -Receita-Despesa'!$B:$P,1,FALSE)</f>
        <v>Pessoal</v>
      </c>
    </row>
    <row r="433" spans="1:12" ht="15" customHeight="1" x14ac:dyDescent="0.3">
      <c r="A433" s="82" t="str">
        <f t="shared" si="12"/>
        <v>2016</v>
      </c>
      <c r="B433" s="72" t="s">
        <v>131</v>
      </c>
      <c r="C433" s="73" t="s">
        <v>132</v>
      </c>
      <c r="D433" s="74" t="str">
        <f t="shared" si="13"/>
        <v>mar/2016</v>
      </c>
      <c r="E433" s="53">
        <v>42432</v>
      </c>
      <c r="F433" s="75" t="s">
        <v>133</v>
      </c>
      <c r="G433" s="72"/>
      <c r="H433" s="49" t="s">
        <v>399</v>
      </c>
      <c r="I433" s="49" t="s">
        <v>135</v>
      </c>
      <c r="J433" s="76">
        <v>-2950.56</v>
      </c>
      <c r="K433" s="83" t="str">
        <f>IFERROR(IFERROR(VLOOKUP(I433,'DE-PARA'!B:D,3,0),VLOOKUP(I433,'DE-PARA'!C:D,2,0)),"NÃO ENCONTRADO")</f>
        <v>Pessoal</v>
      </c>
      <c r="L433" s="50" t="str">
        <f>VLOOKUP(K433,'Base -Receita-Despesa'!$B:$P,1,FALSE)</f>
        <v>Pessoal</v>
      </c>
    </row>
    <row r="434" spans="1:12" ht="15" customHeight="1" x14ac:dyDescent="0.3">
      <c r="A434" s="82" t="str">
        <f t="shared" si="12"/>
        <v>2016</v>
      </c>
      <c r="B434" s="72" t="s">
        <v>131</v>
      </c>
      <c r="C434" s="73" t="s">
        <v>132</v>
      </c>
      <c r="D434" s="74" t="str">
        <f t="shared" si="13"/>
        <v>mar/2016</v>
      </c>
      <c r="E434" s="53">
        <v>42432</v>
      </c>
      <c r="F434" s="75" t="s">
        <v>520</v>
      </c>
      <c r="G434" s="72"/>
      <c r="H434" s="49" t="s">
        <v>207</v>
      </c>
      <c r="I434" s="49" t="s">
        <v>206</v>
      </c>
      <c r="J434" s="76">
        <v>-4546.8</v>
      </c>
      <c r="K434" s="83" t="str">
        <f>IFERROR(IFERROR(VLOOKUP(I434,'DE-PARA'!B:D,3,0),VLOOKUP(I434,'DE-PARA'!C:D,2,0)),"NÃO ENCONTRADO")</f>
        <v>Serviços</v>
      </c>
      <c r="L434" s="50" t="str">
        <f>VLOOKUP(K434,'Base -Receita-Despesa'!$B:$P,1,FALSE)</f>
        <v>Serviços</v>
      </c>
    </row>
    <row r="435" spans="1:12" ht="15" customHeight="1" x14ac:dyDescent="0.3">
      <c r="A435" s="82" t="str">
        <f t="shared" si="12"/>
        <v>2016</v>
      </c>
      <c r="B435" s="72" t="s">
        <v>131</v>
      </c>
      <c r="C435" s="73" t="s">
        <v>132</v>
      </c>
      <c r="D435" s="74" t="str">
        <f t="shared" si="13"/>
        <v>mar/2016</v>
      </c>
      <c r="E435" s="53">
        <v>42432</v>
      </c>
      <c r="F435" s="75" t="s">
        <v>557</v>
      </c>
      <c r="G435" s="72"/>
      <c r="H435" s="49" t="s">
        <v>207</v>
      </c>
      <c r="I435" s="49" t="s">
        <v>206</v>
      </c>
      <c r="J435" s="76">
        <v>-5500</v>
      </c>
      <c r="K435" s="83" t="str">
        <f>IFERROR(IFERROR(VLOOKUP(I435,'DE-PARA'!B:D,3,0),VLOOKUP(I435,'DE-PARA'!C:D,2,0)),"NÃO ENCONTRADO")</f>
        <v>Serviços</v>
      </c>
      <c r="L435" s="50" t="str">
        <f>VLOOKUP(K435,'Base -Receita-Despesa'!$B:$P,1,FALSE)</f>
        <v>Serviços</v>
      </c>
    </row>
    <row r="436" spans="1:12" ht="15" customHeight="1" x14ac:dyDescent="0.3">
      <c r="A436" s="82" t="str">
        <f t="shared" si="12"/>
        <v>2016</v>
      </c>
      <c r="B436" s="72" t="s">
        <v>131</v>
      </c>
      <c r="C436" s="73" t="s">
        <v>132</v>
      </c>
      <c r="D436" s="74" t="str">
        <f t="shared" si="13"/>
        <v>mar/2016</v>
      </c>
      <c r="E436" s="53">
        <v>42432</v>
      </c>
      <c r="F436" s="75" t="s">
        <v>535</v>
      </c>
      <c r="G436" s="72"/>
      <c r="H436" s="49" t="s">
        <v>207</v>
      </c>
      <c r="I436" s="49" t="s">
        <v>206</v>
      </c>
      <c r="J436" s="76">
        <v>-684</v>
      </c>
      <c r="K436" s="83" t="str">
        <f>IFERROR(IFERROR(VLOOKUP(I436,'DE-PARA'!B:D,3,0),VLOOKUP(I436,'DE-PARA'!C:D,2,0)),"NÃO ENCONTRADO")</f>
        <v>Serviços</v>
      </c>
      <c r="L436" s="50" t="str">
        <f>VLOOKUP(K436,'Base -Receita-Despesa'!$B:$P,1,FALSE)</f>
        <v>Serviços</v>
      </c>
    </row>
    <row r="437" spans="1:12" ht="15" customHeight="1" x14ac:dyDescent="0.3">
      <c r="A437" s="82" t="str">
        <f t="shared" si="12"/>
        <v>2016</v>
      </c>
      <c r="B437" s="72" t="s">
        <v>131</v>
      </c>
      <c r="C437" s="73" t="s">
        <v>132</v>
      </c>
      <c r="D437" s="74" t="str">
        <f t="shared" si="13"/>
        <v>mar/2016</v>
      </c>
      <c r="E437" s="53">
        <v>42432</v>
      </c>
      <c r="F437" s="75" t="s">
        <v>432</v>
      </c>
      <c r="G437" s="72"/>
      <c r="H437" s="49" t="s">
        <v>558</v>
      </c>
      <c r="I437" s="49" t="s">
        <v>171</v>
      </c>
      <c r="J437" s="76">
        <v>-2600</v>
      </c>
      <c r="K437" s="83" t="str">
        <f>IFERROR(IFERROR(VLOOKUP(I437,'DE-PARA'!B:D,3,0),VLOOKUP(I437,'DE-PARA'!C:D,2,0)),"NÃO ENCONTRADO")</f>
        <v>Serviços</v>
      </c>
      <c r="L437" s="50" t="str">
        <f>VLOOKUP(K437,'Base -Receita-Despesa'!$B:$P,1,FALSE)</f>
        <v>Serviços</v>
      </c>
    </row>
    <row r="438" spans="1:12" ht="15" customHeight="1" x14ac:dyDescent="0.3">
      <c r="A438" s="82" t="str">
        <f t="shared" si="12"/>
        <v>2016</v>
      </c>
      <c r="B438" s="72" t="s">
        <v>131</v>
      </c>
      <c r="C438" s="73" t="s">
        <v>132</v>
      </c>
      <c r="D438" s="74" t="str">
        <f t="shared" si="13"/>
        <v>mar/2016</v>
      </c>
      <c r="E438" s="53">
        <v>42432</v>
      </c>
      <c r="F438" s="75" t="s">
        <v>136</v>
      </c>
      <c r="G438" s="72"/>
      <c r="H438" s="49" t="s">
        <v>559</v>
      </c>
      <c r="I438" s="49" t="s">
        <v>129</v>
      </c>
      <c r="J438" s="76">
        <v>-2.5</v>
      </c>
      <c r="K438" s="83" t="str">
        <f>IFERROR(IFERROR(VLOOKUP(I438,'DE-PARA'!B:D,3,0),VLOOKUP(I438,'DE-PARA'!C:D,2,0)),"NÃO ENCONTRADO")</f>
        <v>Outras Saídas</v>
      </c>
      <c r="L438" s="50" t="str">
        <f>VLOOKUP(K438,'Base -Receita-Despesa'!$B:$P,1,FALSE)</f>
        <v>Outras Saídas</v>
      </c>
    </row>
    <row r="439" spans="1:12" ht="15" customHeight="1" x14ac:dyDescent="0.3">
      <c r="A439" s="82" t="str">
        <f t="shared" si="12"/>
        <v>2016</v>
      </c>
      <c r="B439" s="72" t="s">
        <v>131</v>
      </c>
      <c r="C439" s="73" t="s">
        <v>132</v>
      </c>
      <c r="D439" s="74" t="str">
        <f t="shared" si="13"/>
        <v>mar/2016</v>
      </c>
      <c r="E439" s="53">
        <v>42432</v>
      </c>
      <c r="F439" s="75" t="s">
        <v>560</v>
      </c>
      <c r="G439" s="72"/>
      <c r="H439" s="49" t="s">
        <v>218</v>
      </c>
      <c r="I439" s="49" t="s">
        <v>110</v>
      </c>
      <c r="J439" s="76">
        <v>-4140</v>
      </c>
      <c r="K439" s="83" t="str">
        <f>IFERROR(IFERROR(VLOOKUP(I439,'DE-PARA'!B:D,3,0),VLOOKUP(I439,'DE-PARA'!C:D,2,0)),"NÃO ENCONTRADO")</f>
        <v>Serviços</v>
      </c>
      <c r="L439" s="50" t="str">
        <f>VLOOKUP(K439,'Base -Receita-Despesa'!$B:$P,1,FALSE)</f>
        <v>Serviços</v>
      </c>
    </row>
    <row r="440" spans="1:12" ht="15" customHeight="1" x14ac:dyDescent="0.3">
      <c r="A440" s="82" t="str">
        <f t="shared" si="12"/>
        <v>2016</v>
      </c>
      <c r="B440" s="72" t="s">
        <v>131</v>
      </c>
      <c r="C440" s="73" t="s">
        <v>132</v>
      </c>
      <c r="D440" s="74" t="str">
        <f t="shared" si="13"/>
        <v>mar/2016</v>
      </c>
      <c r="E440" s="53">
        <v>42432</v>
      </c>
      <c r="F440" s="75" t="s">
        <v>561</v>
      </c>
      <c r="G440" s="72"/>
      <c r="H440" s="49" t="s">
        <v>190</v>
      </c>
      <c r="I440" s="49" t="s">
        <v>191</v>
      </c>
      <c r="J440" s="76">
        <v>-3190.9</v>
      </c>
      <c r="K440" s="83" t="str">
        <f>IFERROR(IFERROR(VLOOKUP(I440,'DE-PARA'!B:D,3,0),VLOOKUP(I440,'DE-PARA'!C:D,2,0)),"NÃO ENCONTRADO")</f>
        <v>Serviços</v>
      </c>
      <c r="L440" s="50" t="str">
        <f>VLOOKUP(K440,'Base -Receita-Despesa'!$B:$P,1,FALSE)</f>
        <v>Serviços</v>
      </c>
    </row>
    <row r="441" spans="1:12" ht="15" customHeight="1" x14ac:dyDescent="0.3">
      <c r="A441" s="82" t="str">
        <f t="shared" si="12"/>
        <v>2016</v>
      </c>
      <c r="B441" s="72" t="s">
        <v>131</v>
      </c>
      <c r="C441" s="73" t="s">
        <v>132</v>
      </c>
      <c r="D441" s="74" t="str">
        <f t="shared" si="13"/>
        <v>mar/2016</v>
      </c>
      <c r="E441" s="53">
        <v>42433</v>
      </c>
      <c r="F441" s="75" t="s">
        <v>133</v>
      </c>
      <c r="G441" s="72"/>
      <c r="H441" s="49" t="s">
        <v>562</v>
      </c>
      <c r="I441" s="49" t="s">
        <v>135</v>
      </c>
      <c r="J441" s="76">
        <v>-297598.71000000002</v>
      </c>
      <c r="K441" s="83" t="str">
        <f>IFERROR(IFERROR(VLOOKUP(I441,'DE-PARA'!B:D,3,0),VLOOKUP(I441,'DE-PARA'!C:D,2,0)),"NÃO ENCONTRADO")</f>
        <v>Pessoal</v>
      </c>
      <c r="L441" s="50" t="str">
        <f>VLOOKUP(K441,'Base -Receita-Despesa'!$B:$P,1,FALSE)</f>
        <v>Pessoal</v>
      </c>
    </row>
    <row r="442" spans="1:12" ht="15" customHeight="1" x14ac:dyDescent="0.3">
      <c r="A442" s="82" t="str">
        <f t="shared" si="12"/>
        <v>2016</v>
      </c>
      <c r="B442" s="72" t="s">
        <v>131</v>
      </c>
      <c r="C442" s="73" t="s">
        <v>132</v>
      </c>
      <c r="D442" s="74" t="str">
        <f t="shared" si="13"/>
        <v>mar/2016</v>
      </c>
      <c r="E442" s="53">
        <v>42433</v>
      </c>
      <c r="F442" s="75" t="s">
        <v>563</v>
      </c>
      <c r="G442" s="72"/>
      <c r="H442" s="49" t="s">
        <v>360</v>
      </c>
      <c r="I442" s="49" t="s">
        <v>111</v>
      </c>
      <c r="J442" s="76">
        <v>-1781</v>
      </c>
      <c r="K442" s="83" t="str">
        <f>IFERROR(IFERROR(VLOOKUP(I442,'DE-PARA'!B:D,3,0),VLOOKUP(I442,'DE-PARA'!C:D,2,0)),"NÃO ENCONTRADO")</f>
        <v>Serviços</v>
      </c>
      <c r="L442" s="50" t="str">
        <f>VLOOKUP(K442,'Base -Receita-Despesa'!$B:$P,1,FALSE)</f>
        <v>Serviços</v>
      </c>
    </row>
    <row r="443" spans="1:12" ht="15" customHeight="1" x14ac:dyDescent="0.3">
      <c r="A443" s="82" t="str">
        <f t="shared" si="12"/>
        <v>2016</v>
      </c>
      <c r="B443" s="72" t="s">
        <v>131</v>
      </c>
      <c r="C443" s="73" t="s">
        <v>132</v>
      </c>
      <c r="D443" s="74" t="str">
        <f t="shared" si="13"/>
        <v>mar/2016</v>
      </c>
      <c r="E443" s="53">
        <v>42433</v>
      </c>
      <c r="F443" s="75" t="s">
        <v>564</v>
      </c>
      <c r="G443" s="72"/>
      <c r="H443" s="49" t="s">
        <v>360</v>
      </c>
      <c r="I443" s="49" t="s">
        <v>111</v>
      </c>
      <c r="J443" s="76">
        <v>-11129</v>
      </c>
      <c r="K443" s="83" t="str">
        <f>IFERROR(IFERROR(VLOOKUP(I443,'DE-PARA'!B:D,3,0),VLOOKUP(I443,'DE-PARA'!C:D,2,0)),"NÃO ENCONTRADO")</f>
        <v>Serviços</v>
      </c>
      <c r="L443" s="50" t="str">
        <f>VLOOKUP(K443,'Base -Receita-Despesa'!$B:$P,1,FALSE)</f>
        <v>Serviços</v>
      </c>
    </row>
    <row r="444" spans="1:12" ht="15" customHeight="1" x14ac:dyDescent="0.3">
      <c r="A444" s="82" t="str">
        <f t="shared" si="12"/>
        <v>2016</v>
      </c>
      <c r="B444" s="72" t="s">
        <v>131</v>
      </c>
      <c r="C444" s="73" t="s">
        <v>132</v>
      </c>
      <c r="D444" s="74" t="str">
        <f t="shared" si="13"/>
        <v>mar/2016</v>
      </c>
      <c r="E444" s="53">
        <v>42433</v>
      </c>
      <c r="F444" s="75" t="s">
        <v>133</v>
      </c>
      <c r="G444" s="72"/>
      <c r="H444" s="49" t="s">
        <v>565</v>
      </c>
      <c r="I444" s="49" t="s">
        <v>135</v>
      </c>
      <c r="J444" s="76">
        <v>-1842.89</v>
      </c>
      <c r="K444" s="83" t="str">
        <f>IFERROR(IFERROR(VLOOKUP(I444,'DE-PARA'!B:D,3,0),VLOOKUP(I444,'DE-PARA'!C:D,2,0)),"NÃO ENCONTRADO")</f>
        <v>Pessoal</v>
      </c>
      <c r="L444" s="50" t="str">
        <f>VLOOKUP(K444,'Base -Receita-Despesa'!$B:$P,1,FALSE)</f>
        <v>Pessoal</v>
      </c>
    </row>
    <row r="445" spans="1:12" ht="15" customHeight="1" x14ac:dyDescent="0.3">
      <c r="A445" s="82" t="str">
        <f t="shared" si="12"/>
        <v>2016</v>
      </c>
      <c r="B445" s="72" t="s">
        <v>131</v>
      </c>
      <c r="C445" s="73" t="s">
        <v>132</v>
      </c>
      <c r="D445" s="74" t="str">
        <f t="shared" si="13"/>
        <v>mar/2016</v>
      </c>
      <c r="E445" s="53">
        <v>42433</v>
      </c>
      <c r="F445" s="75" t="s">
        <v>133</v>
      </c>
      <c r="G445" s="72"/>
      <c r="H445" s="49" t="s">
        <v>566</v>
      </c>
      <c r="I445" s="49" t="s">
        <v>135</v>
      </c>
      <c r="J445" s="76">
        <v>-474.52</v>
      </c>
      <c r="K445" s="83" t="str">
        <f>IFERROR(IFERROR(VLOOKUP(I445,'DE-PARA'!B:D,3,0),VLOOKUP(I445,'DE-PARA'!C:D,2,0)),"NÃO ENCONTRADO")</f>
        <v>Pessoal</v>
      </c>
      <c r="L445" s="50" t="str">
        <f>VLOOKUP(K445,'Base -Receita-Despesa'!$B:$P,1,FALSE)</f>
        <v>Pessoal</v>
      </c>
    </row>
    <row r="446" spans="1:12" ht="15" customHeight="1" x14ac:dyDescent="0.3">
      <c r="A446" s="82" t="str">
        <f t="shared" si="12"/>
        <v>2016</v>
      </c>
      <c r="B446" s="72" t="s">
        <v>131</v>
      </c>
      <c r="C446" s="73" t="s">
        <v>132</v>
      </c>
      <c r="D446" s="74" t="str">
        <f t="shared" si="13"/>
        <v>mar/2016</v>
      </c>
      <c r="E446" s="53">
        <v>42436</v>
      </c>
      <c r="F446" s="75" t="s">
        <v>136</v>
      </c>
      <c r="G446" s="72"/>
      <c r="H446" s="49" t="s">
        <v>149</v>
      </c>
      <c r="I446" s="49" t="s">
        <v>129</v>
      </c>
      <c r="J446" s="76">
        <v>-7.85</v>
      </c>
      <c r="K446" s="83" t="str">
        <f>IFERROR(IFERROR(VLOOKUP(I446,'DE-PARA'!B:D,3,0),VLOOKUP(I446,'DE-PARA'!C:D,2,0)),"NÃO ENCONTRADO")</f>
        <v>Outras Saídas</v>
      </c>
      <c r="L446" s="50" t="str">
        <f>VLOOKUP(K446,'Base -Receita-Despesa'!$B:$P,1,FALSE)</f>
        <v>Outras Saídas</v>
      </c>
    </row>
    <row r="447" spans="1:12" ht="15" customHeight="1" x14ac:dyDescent="0.3">
      <c r="A447" s="82" t="str">
        <f t="shared" si="12"/>
        <v>2016</v>
      </c>
      <c r="B447" s="72" t="s">
        <v>131</v>
      </c>
      <c r="C447" s="73" t="s">
        <v>132</v>
      </c>
      <c r="D447" s="74" t="str">
        <f t="shared" si="13"/>
        <v>mar/2016</v>
      </c>
      <c r="E447" s="53">
        <v>42436</v>
      </c>
      <c r="F447" s="75" t="s">
        <v>567</v>
      </c>
      <c r="G447" s="72"/>
      <c r="H447" s="49" t="s">
        <v>503</v>
      </c>
      <c r="I447" s="49" t="s">
        <v>159</v>
      </c>
      <c r="J447" s="76">
        <v>-604.86</v>
      </c>
      <c r="K447" s="83" t="str">
        <f>IFERROR(IFERROR(VLOOKUP(I447,'DE-PARA'!B:D,3,0),VLOOKUP(I447,'DE-PARA'!C:D,2,0)),"NÃO ENCONTRADO")</f>
        <v>Materiais</v>
      </c>
      <c r="L447" s="50" t="str">
        <f>VLOOKUP(K447,'Base -Receita-Despesa'!$B:$P,1,FALSE)</f>
        <v>Materiais</v>
      </c>
    </row>
    <row r="448" spans="1:12" ht="15" customHeight="1" x14ac:dyDescent="0.3">
      <c r="A448" s="82" t="str">
        <f t="shared" si="12"/>
        <v>2016</v>
      </c>
      <c r="B448" s="72" t="s">
        <v>131</v>
      </c>
      <c r="C448" s="73" t="s">
        <v>132</v>
      </c>
      <c r="D448" s="74" t="str">
        <f t="shared" si="13"/>
        <v>mar/2016</v>
      </c>
      <c r="E448" s="53">
        <v>42436</v>
      </c>
      <c r="F448" s="75" t="s">
        <v>568</v>
      </c>
      <c r="G448" s="72"/>
      <c r="H448" s="49" t="s">
        <v>503</v>
      </c>
      <c r="I448" s="49" t="s">
        <v>159</v>
      </c>
      <c r="J448" s="76">
        <v>-937.72</v>
      </c>
      <c r="K448" s="83" t="str">
        <f>IFERROR(IFERROR(VLOOKUP(I448,'DE-PARA'!B:D,3,0),VLOOKUP(I448,'DE-PARA'!C:D,2,0)),"NÃO ENCONTRADO")</f>
        <v>Materiais</v>
      </c>
      <c r="L448" s="50" t="str">
        <f>VLOOKUP(K448,'Base -Receita-Despesa'!$B:$P,1,FALSE)</f>
        <v>Materiais</v>
      </c>
    </row>
    <row r="449" spans="1:12" ht="15" customHeight="1" x14ac:dyDescent="0.3">
      <c r="A449" s="82" t="str">
        <f t="shared" si="12"/>
        <v>2016</v>
      </c>
      <c r="B449" s="72" t="s">
        <v>131</v>
      </c>
      <c r="C449" s="73" t="s">
        <v>132</v>
      </c>
      <c r="D449" s="74" t="str">
        <f t="shared" si="13"/>
        <v>mar/2016</v>
      </c>
      <c r="E449" s="53">
        <v>42436</v>
      </c>
      <c r="F449" s="75" t="s">
        <v>354</v>
      </c>
      <c r="G449" s="72"/>
      <c r="H449" s="49" t="s">
        <v>166</v>
      </c>
      <c r="I449" s="49" t="s">
        <v>167</v>
      </c>
      <c r="J449" s="76">
        <v>-593.85</v>
      </c>
      <c r="K449" s="83" t="str">
        <f>IFERROR(IFERROR(VLOOKUP(I449,'DE-PARA'!B:D,3,0),VLOOKUP(I449,'DE-PARA'!C:D,2,0)),"NÃO ENCONTRADO")</f>
        <v>Materiais</v>
      </c>
      <c r="L449" s="50" t="str">
        <f>VLOOKUP(K449,'Base -Receita-Despesa'!$B:$P,1,FALSE)</f>
        <v>Materiais</v>
      </c>
    </row>
    <row r="450" spans="1:12" ht="15" customHeight="1" x14ac:dyDescent="0.3">
      <c r="A450" s="82" t="str">
        <f t="shared" si="12"/>
        <v>2016</v>
      </c>
      <c r="B450" s="72" t="s">
        <v>131</v>
      </c>
      <c r="C450" s="73" t="s">
        <v>132</v>
      </c>
      <c r="D450" s="74" t="str">
        <f t="shared" si="13"/>
        <v>mar/2016</v>
      </c>
      <c r="E450" s="53">
        <v>42436</v>
      </c>
      <c r="F450" s="75" t="s">
        <v>569</v>
      </c>
      <c r="G450" s="72"/>
      <c r="H450" s="49" t="s">
        <v>166</v>
      </c>
      <c r="I450" s="49" t="s">
        <v>167</v>
      </c>
      <c r="J450" s="76">
        <v>-1160</v>
      </c>
      <c r="K450" s="83" t="str">
        <f>IFERROR(IFERROR(VLOOKUP(I450,'DE-PARA'!B:D,3,0),VLOOKUP(I450,'DE-PARA'!C:D,2,0)),"NÃO ENCONTRADO")</f>
        <v>Materiais</v>
      </c>
      <c r="L450" s="50" t="str">
        <f>VLOOKUP(K450,'Base -Receita-Despesa'!$B:$P,1,FALSE)</f>
        <v>Materiais</v>
      </c>
    </row>
    <row r="451" spans="1:12" ht="15" customHeight="1" x14ac:dyDescent="0.3">
      <c r="A451" s="82" t="str">
        <f t="shared" si="12"/>
        <v>2016</v>
      </c>
      <c r="B451" s="72" t="s">
        <v>131</v>
      </c>
      <c r="C451" s="73" t="s">
        <v>132</v>
      </c>
      <c r="D451" s="74" t="str">
        <f t="shared" si="13"/>
        <v>mar/2016</v>
      </c>
      <c r="E451" s="53">
        <v>42436</v>
      </c>
      <c r="F451" s="75" t="s">
        <v>570</v>
      </c>
      <c r="G451" s="72"/>
      <c r="H451" s="49" t="s">
        <v>166</v>
      </c>
      <c r="I451" s="49" t="s">
        <v>167</v>
      </c>
      <c r="J451" s="76">
        <v>-424.75</v>
      </c>
      <c r="K451" s="83" t="str">
        <f>IFERROR(IFERROR(VLOOKUP(I451,'DE-PARA'!B:D,3,0),VLOOKUP(I451,'DE-PARA'!C:D,2,0)),"NÃO ENCONTRADO")</f>
        <v>Materiais</v>
      </c>
      <c r="L451" s="50" t="str">
        <f>VLOOKUP(K451,'Base -Receita-Despesa'!$B:$P,1,FALSE)</f>
        <v>Materiais</v>
      </c>
    </row>
    <row r="452" spans="1:12" ht="15" customHeight="1" x14ac:dyDescent="0.3">
      <c r="A452" s="82" t="str">
        <f t="shared" ref="A452:A515" si="14">IF(K452="NÃO ENCONTRADO",0,RIGHT(D452,4))</f>
        <v>2016</v>
      </c>
      <c r="B452" s="72" t="s">
        <v>131</v>
      </c>
      <c r="C452" s="73" t="s">
        <v>132</v>
      </c>
      <c r="D452" s="74" t="str">
        <f t="shared" ref="D452:D515" si="15">TEXT(E452,"mmm/aaaa")</f>
        <v>mar/2016</v>
      </c>
      <c r="E452" s="53">
        <v>42436</v>
      </c>
      <c r="F452" s="75" t="s">
        <v>571</v>
      </c>
      <c r="G452" s="72"/>
      <c r="H452" s="49" t="s">
        <v>246</v>
      </c>
      <c r="I452" s="49" t="s">
        <v>138</v>
      </c>
      <c r="J452" s="76">
        <v>-396.38</v>
      </c>
      <c r="K452" s="83" t="str">
        <f>IFERROR(IFERROR(VLOOKUP(I452,'DE-PARA'!B:D,3,0),VLOOKUP(I452,'DE-PARA'!C:D,2,0)),"NÃO ENCONTRADO")</f>
        <v>Serviços</v>
      </c>
      <c r="L452" s="50" t="str">
        <f>VLOOKUP(K452,'Base -Receita-Despesa'!$B:$P,1,FALSE)</f>
        <v>Serviços</v>
      </c>
    </row>
    <row r="453" spans="1:12" ht="15" customHeight="1" x14ac:dyDescent="0.3">
      <c r="A453" s="82" t="str">
        <f t="shared" si="14"/>
        <v>2016</v>
      </c>
      <c r="B453" s="72" t="s">
        <v>131</v>
      </c>
      <c r="C453" s="73" t="s">
        <v>132</v>
      </c>
      <c r="D453" s="74" t="str">
        <f t="shared" si="15"/>
        <v>mar/2016</v>
      </c>
      <c r="E453" s="53">
        <v>42436</v>
      </c>
      <c r="F453" s="75" t="s">
        <v>572</v>
      </c>
      <c r="G453" s="72"/>
      <c r="H453" s="49" t="s">
        <v>183</v>
      </c>
      <c r="I453" s="49" t="s">
        <v>159</v>
      </c>
      <c r="J453" s="76">
        <v>-1569.7</v>
      </c>
      <c r="K453" s="83" t="str">
        <f>IFERROR(IFERROR(VLOOKUP(I453,'DE-PARA'!B:D,3,0),VLOOKUP(I453,'DE-PARA'!C:D,2,0)),"NÃO ENCONTRADO")</f>
        <v>Materiais</v>
      </c>
      <c r="L453" s="50" t="str">
        <f>VLOOKUP(K453,'Base -Receita-Despesa'!$B:$P,1,FALSE)</f>
        <v>Materiais</v>
      </c>
    </row>
    <row r="454" spans="1:12" ht="15" customHeight="1" x14ac:dyDescent="0.3">
      <c r="A454" s="82" t="str">
        <f t="shared" si="14"/>
        <v>2016</v>
      </c>
      <c r="B454" s="72" t="s">
        <v>131</v>
      </c>
      <c r="C454" s="73" t="s">
        <v>132</v>
      </c>
      <c r="D454" s="74" t="str">
        <f t="shared" si="15"/>
        <v>mar/2016</v>
      </c>
      <c r="E454" s="53">
        <v>42436</v>
      </c>
      <c r="F454" s="75" t="s">
        <v>122</v>
      </c>
      <c r="G454" s="72"/>
      <c r="H454" s="49" t="s">
        <v>160</v>
      </c>
      <c r="I454" s="49" t="s">
        <v>122</v>
      </c>
      <c r="J454" s="76">
        <v>-30781.73</v>
      </c>
      <c r="K454" s="83" t="str">
        <f>IFERROR(IFERROR(VLOOKUP(I454,'DE-PARA'!B:D,3,0),VLOOKUP(I454,'DE-PARA'!C:D,2,0)),"NÃO ENCONTRADO")</f>
        <v>Encargos sobre Folha de Pagamento</v>
      </c>
      <c r="L454" s="50" t="str">
        <f>VLOOKUP(K454,'Base -Receita-Despesa'!$B:$P,1,FALSE)</f>
        <v>Encargos sobre Folha de Pagamento</v>
      </c>
    </row>
    <row r="455" spans="1:12" ht="15" customHeight="1" x14ac:dyDescent="0.3">
      <c r="A455" s="82" t="str">
        <f t="shared" si="14"/>
        <v>2016</v>
      </c>
      <c r="B455" s="72" t="s">
        <v>131</v>
      </c>
      <c r="C455" s="73" t="s">
        <v>132</v>
      </c>
      <c r="D455" s="74" t="str">
        <f t="shared" si="15"/>
        <v>mar/2016</v>
      </c>
      <c r="E455" s="53">
        <v>42437</v>
      </c>
      <c r="F455" s="75" t="s">
        <v>154</v>
      </c>
      <c r="G455" s="72"/>
      <c r="H455" s="49" t="s">
        <v>552</v>
      </c>
      <c r="I455" s="49" t="s">
        <v>1497</v>
      </c>
      <c r="J455" s="76">
        <v>36186.14</v>
      </c>
      <c r="K455" s="83" t="str">
        <f>IFERROR(IFERROR(VLOOKUP(I455,'DE-PARA'!B:D,3,0),VLOOKUP(I455,'DE-PARA'!C:D,2,0)),"NÃO ENCONTRADO")</f>
        <v>Repasses Contrato de Gestão</v>
      </c>
      <c r="L455" s="50" t="str">
        <f>VLOOKUP(K455,'Base -Receita-Despesa'!$B:$P,1,FALSE)</f>
        <v>Repasses Contrato de Gestão</v>
      </c>
    </row>
    <row r="456" spans="1:12" ht="15" customHeight="1" x14ac:dyDescent="0.3">
      <c r="A456" s="82" t="str">
        <f t="shared" si="14"/>
        <v>2016</v>
      </c>
      <c r="B456" s="72" t="s">
        <v>131</v>
      </c>
      <c r="C456" s="73" t="s">
        <v>132</v>
      </c>
      <c r="D456" s="74" t="str">
        <f t="shared" si="15"/>
        <v>mar/2016</v>
      </c>
      <c r="E456" s="53">
        <v>42437</v>
      </c>
      <c r="F456" s="75" t="s">
        <v>573</v>
      </c>
      <c r="G456" s="72"/>
      <c r="H456" s="49" t="s">
        <v>251</v>
      </c>
      <c r="I456" s="49" t="s">
        <v>129</v>
      </c>
      <c r="J456" s="76">
        <v>-136.53</v>
      </c>
      <c r="K456" s="83" t="str">
        <f>IFERROR(IFERROR(VLOOKUP(I456,'DE-PARA'!B:D,3,0),VLOOKUP(I456,'DE-PARA'!C:D,2,0)),"NÃO ENCONTRADO")</f>
        <v>Outras Saídas</v>
      </c>
      <c r="L456" s="50" t="str">
        <f>VLOOKUP(K456,'Base -Receita-Despesa'!$B:$P,1,FALSE)</f>
        <v>Outras Saídas</v>
      </c>
    </row>
    <row r="457" spans="1:12" ht="15" customHeight="1" x14ac:dyDescent="0.3">
      <c r="A457" s="82" t="str">
        <f t="shared" si="14"/>
        <v>2016</v>
      </c>
      <c r="B457" s="72" t="s">
        <v>131</v>
      </c>
      <c r="C457" s="73" t="s">
        <v>132</v>
      </c>
      <c r="D457" s="74" t="str">
        <f t="shared" si="15"/>
        <v>mar/2016</v>
      </c>
      <c r="E457" s="53">
        <v>42437</v>
      </c>
      <c r="F457" s="75" t="s">
        <v>122</v>
      </c>
      <c r="G457" s="72"/>
      <c r="H457" s="49" t="s">
        <v>574</v>
      </c>
      <c r="I457" s="49" t="s">
        <v>124</v>
      </c>
      <c r="J457" s="76">
        <v>-16.100000000000001</v>
      </c>
      <c r="K457" s="83" t="str">
        <f>IFERROR(IFERROR(VLOOKUP(I457,'DE-PARA'!B:D,3,0),VLOOKUP(I457,'DE-PARA'!C:D,2,0)),"NÃO ENCONTRADO")</f>
        <v>Rescisões Trabalhistas</v>
      </c>
      <c r="L457" s="50" t="str">
        <f>VLOOKUP(K457,'Base -Receita-Despesa'!$B:$P,1,FALSE)</f>
        <v>Rescisões Trabalhistas</v>
      </c>
    </row>
    <row r="458" spans="1:12" ht="15" customHeight="1" x14ac:dyDescent="0.3">
      <c r="A458" s="82" t="str">
        <f t="shared" si="14"/>
        <v>2016</v>
      </c>
      <c r="B458" s="72" t="s">
        <v>131</v>
      </c>
      <c r="C458" s="73" t="s">
        <v>132</v>
      </c>
      <c r="D458" s="74" t="str">
        <f t="shared" si="15"/>
        <v>mar/2016</v>
      </c>
      <c r="E458" s="53">
        <v>42437</v>
      </c>
      <c r="F458" s="75" t="s">
        <v>123</v>
      </c>
      <c r="G458" s="72"/>
      <c r="H458" s="49" t="s">
        <v>575</v>
      </c>
      <c r="I458" s="49" t="s">
        <v>124</v>
      </c>
      <c r="J458" s="76">
        <v>-175.52</v>
      </c>
      <c r="K458" s="83" t="str">
        <f>IFERROR(IFERROR(VLOOKUP(I458,'DE-PARA'!B:D,3,0),VLOOKUP(I458,'DE-PARA'!C:D,2,0)),"NÃO ENCONTRADO")</f>
        <v>Rescisões Trabalhistas</v>
      </c>
      <c r="L458" s="50" t="str">
        <f>VLOOKUP(K458,'Base -Receita-Despesa'!$B:$P,1,FALSE)</f>
        <v>Rescisões Trabalhistas</v>
      </c>
    </row>
    <row r="459" spans="1:12" ht="15" customHeight="1" x14ac:dyDescent="0.3">
      <c r="A459" s="82" t="str">
        <f t="shared" si="14"/>
        <v>2016</v>
      </c>
      <c r="B459" s="72" t="s">
        <v>131</v>
      </c>
      <c r="C459" s="73" t="s">
        <v>132</v>
      </c>
      <c r="D459" s="74" t="str">
        <f t="shared" si="15"/>
        <v>mar/2016</v>
      </c>
      <c r="E459" s="53">
        <v>42437</v>
      </c>
      <c r="F459" s="75" t="s">
        <v>576</v>
      </c>
      <c r="G459" s="72"/>
      <c r="H459" s="49" t="s">
        <v>577</v>
      </c>
      <c r="I459" s="49" t="s">
        <v>115</v>
      </c>
      <c r="J459" s="76">
        <v>-1500</v>
      </c>
      <c r="K459" s="83" t="str">
        <f>IFERROR(IFERROR(VLOOKUP(I459,'DE-PARA'!B:D,3,0),VLOOKUP(I459,'DE-PARA'!C:D,2,0)),"NÃO ENCONTRADO")</f>
        <v>Serviços</v>
      </c>
      <c r="L459" s="50" t="str">
        <f>VLOOKUP(K459,'Base -Receita-Despesa'!$B:$P,1,FALSE)</f>
        <v>Serviços</v>
      </c>
    </row>
    <row r="460" spans="1:12" ht="15" customHeight="1" x14ac:dyDescent="0.3">
      <c r="A460" s="82" t="str">
        <f t="shared" si="14"/>
        <v>2016</v>
      </c>
      <c r="B460" s="72" t="s">
        <v>131</v>
      </c>
      <c r="C460" s="73" t="s">
        <v>132</v>
      </c>
      <c r="D460" s="74" t="str">
        <f t="shared" si="15"/>
        <v>mar/2016</v>
      </c>
      <c r="E460" s="53">
        <v>42437</v>
      </c>
      <c r="F460" s="75" t="s">
        <v>146</v>
      </c>
      <c r="G460" s="72"/>
      <c r="H460" s="49" t="s">
        <v>147</v>
      </c>
      <c r="I460" s="49" t="s">
        <v>148</v>
      </c>
      <c r="J460" s="76">
        <v>-2292.88</v>
      </c>
      <c r="K460" s="83" t="str">
        <f>IFERROR(IFERROR(VLOOKUP(I460,'DE-PARA'!B:D,3,0),VLOOKUP(I460,'DE-PARA'!C:D,2,0)),"NÃO ENCONTRADO")</f>
        <v>Concessionárias (água, luz e telefone)</v>
      </c>
      <c r="L460" s="50" t="str">
        <f>VLOOKUP(K460,'Base -Receita-Despesa'!$B:$P,1,FALSE)</f>
        <v>Concessionárias (água, luz e telefone)</v>
      </c>
    </row>
    <row r="461" spans="1:12" ht="15" customHeight="1" x14ac:dyDescent="0.3">
      <c r="A461" s="82" t="str">
        <f t="shared" si="14"/>
        <v>2016</v>
      </c>
      <c r="B461" s="72" t="s">
        <v>131</v>
      </c>
      <c r="C461" s="73" t="s">
        <v>132</v>
      </c>
      <c r="D461" s="74" t="str">
        <f t="shared" si="15"/>
        <v>mar/2016</v>
      </c>
      <c r="E461" s="53">
        <v>42438</v>
      </c>
      <c r="F461" s="75" t="s">
        <v>133</v>
      </c>
      <c r="G461" s="72"/>
      <c r="H461" s="49" t="s">
        <v>134</v>
      </c>
      <c r="I461" s="49" t="s">
        <v>135</v>
      </c>
      <c r="J461" s="76">
        <v>-152.16</v>
      </c>
      <c r="K461" s="83" t="str">
        <f>IFERROR(IFERROR(VLOOKUP(I461,'DE-PARA'!B:D,3,0),VLOOKUP(I461,'DE-PARA'!C:D,2,0)),"NÃO ENCONTRADO")</f>
        <v>Pessoal</v>
      </c>
      <c r="L461" s="50" t="str">
        <f>VLOOKUP(K461,'Base -Receita-Despesa'!$B:$P,1,FALSE)</f>
        <v>Pessoal</v>
      </c>
    </row>
    <row r="462" spans="1:12" ht="15" customHeight="1" x14ac:dyDescent="0.3">
      <c r="A462" s="82" t="str">
        <f t="shared" si="14"/>
        <v>2016</v>
      </c>
      <c r="B462" s="72" t="s">
        <v>131</v>
      </c>
      <c r="C462" s="73" t="s">
        <v>132</v>
      </c>
      <c r="D462" s="74" t="str">
        <f t="shared" si="15"/>
        <v>mar/2016</v>
      </c>
      <c r="E462" s="53">
        <v>42438</v>
      </c>
      <c r="F462" s="75" t="s">
        <v>578</v>
      </c>
      <c r="G462" s="72"/>
      <c r="H462" s="49" t="s">
        <v>579</v>
      </c>
      <c r="I462" s="49" t="s">
        <v>159</v>
      </c>
      <c r="J462" s="76">
        <v>-1466.17</v>
      </c>
      <c r="K462" s="83" t="str">
        <f>IFERROR(IFERROR(VLOOKUP(I462,'DE-PARA'!B:D,3,0),VLOOKUP(I462,'DE-PARA'!C:D,2,0)),"NÃO ENCONTRADO")</f>
        <v>Materiais</v>
      </c>
      <c r="L462" s="50" t="str">
        <f>VLOOKUP(K462,'Base -Receita-Despesa'!$B:$P,1,FALSE)</f>
        <v>Materiais</v>
      </c>
    </row>
    <row r="463" spans="1:12" ht="15" customHeight="1" x14ac:dyDescent="0.3">
      <c r="A463" s="82" t="str">
        <f t="shared" si="14"/>
        <v>2016</v>
      </c>
      <c r="B463" s="72" t="s">
        <v>131</v>
      </c>
      <c r="C463" s="73" t="s">
        <v>132</v>
      </c>
      <c r="D463" s="74" t="str">
        <f t="shared" si="15"/>
        <v>mar/2016</v>
      </c>
      <c r="E463" s="53">
        <v>42438</v>
      </c>
      <c r="F463" s="75" t="s">
        <v>359</v>
      </c>
      <c r="G463" s="72"/>
      <c r="H463" s="49" t="s">
        <v>222</v>
      </c>
      <c r="I463" s="49" t="s">
        <v>223</v>
      </c>
      <c r="J463" s="76">
        <v>-1928.68</v>
      </c>
      <c r="K463" s="83" t="str">
        <f>IFERROR(IFERROR(VLOOKUP(I463,'DE-PARA'!B:D,3,0),VLOOKUP(I463,'DE-PARA'!C:D,2,0)),"NÃO ENCONTRADO")</f>
        <v>Materiais</v>
      </c>
      <c r="L463" s="50" t="str">
        <f>VLOOKUP(K463,'Base -Receita-Despesa'!$B:$P,1,FALSE)</f>
        <v>Materiais</v>
      </c>
    </row>
    <row r="464" spans="1:12" ht="15" customHeight="1" x14ac:dyDescent="0.3">
      <c r="A464" s="82" t="str">
        <f t="shared" si="14"/>
        <v>2016</v>
      </c>
      <c r="B464" s="72" t="s">
        <v>131</v>
      </c>
      <c r="C464" s="73" t="s">
        <v>132</v>
      </c>
      <c r="D464" s="74" t="str">
        <f t="shared" si="15"/>
        <v>mar/2016</v>
      </c>
      <c r="E464" s="53">
        <v>42439</v>
      </c>
      <c r="F464" s="75" t="s">
        <v>237</v>
      </c>
      <c r="G464" s="72"/>
      <c r="H464" s="49" t="s">
        <v>187</v>
      </c>
      <c r="I464" s="49" t="s">
        <v>110</v>
      </c>
      <c r="J464" s="76">
        <v>-2700</v>
      </c>
      <c r="K464" s="83" t="str">
        <f>IFERROR(IFERROR(VLOOKUP(I464,'DE-PARA'!B:D,3,0),VLOOKUP(I464,'DE-PARA'!C:D,2,0)),"NÃO ENCONTRADO")</f>
        <v>Serviços</v>
      </c>
      <c r="L464" s="50" t="str">
        <f>VLOOKUP(K464,'Base -Receita-Despesa'!$B:$P,1,FALSE)</f>
        <v>Serviços</v>
      </c>
    </row>
    <row r="465" spans="1:12" ht="15" customHeight="1" x14ac:dyDescent="0.3">
      <c r="A465" s="82" t="str">
        <f t="shared" si="14"/>
        <v>2016</v>
      </c>
      <c r="B465" s="72" t="s">
        <v>131</v>
      </c>
      <c r="C465" s="73" t="s">
        <v>132</v>
      </c>
      <c r="D465" s="74" t="str">
        <f t="shared" si="15"/>
        <v>mar/2016</v>
      </c>
      <c r="E465" s="53">
        <v>42439</v>
      </c>
      <c r="F465" s="75" t="s">
        <v>377</v>
      </c>
      <c r="G465" s="72"/>
      <c r="H465" s="49" t="s">
        <v>187</v>
      </c>
      <c r="I465" s="49" t="s">
        <v>110</v>
      </c>
      <c r="J465" s="76">
        <v>-2700</v>
      </c>
      <c r="K465" s="83" t="str">
        <f>IFERROR(IFERROR(VLOOKUP(I465,'DE-PARA'!B:D,3,0),VLOOKUP(I465,'DE-PARA'!C:D,2,0)),"NÃO ENCONTRADO")</f>
        <v>Serviços</v>
      </c>
      <c r="L465" s="50" t="str">
        <f>VLOOKUP(K465,'Base -Receita-Despesa'!$B:$P,1,FALSE)</f>
        <v>Serviços</v>
      </c>
    </row>
    <row r="466" spans="1:12" ht="15" customHeight="1" x14ac:dyDescent="0.3">
      <c r="A466" s="82" t="str">
        <f t="shared" si="14"/>
        <v>2016</v>
      </c>
      <c r="B466" s="72" t="s">
        <v>131</v>
      </c>
      <c r="C466" s="73" t="s">
        <v>132</v>
      </c>
      <c r="D466" s="74" t="str">
        <f t="shared" si="15"/>
        <v>mar/2016</v>
      </c>
      <c r="E466" s="53">
        <v>42439</v>
      </c>
      <c r="F466" s="75" t="s">
        <v>580</v>
      </c>
      <c r="G466" s="72"/>
      <c r="H466" s="49" t="s">
        <v>193</v>
      </c>
      <c r="I466" s="49" t="s">
        <v>194</v>
      </c>
      <c r="J466" s="76">
        <v>-234.6</v>
      </c>
      <c r="K466" s="83" t="str">
        <f>IFERROR(IFERROR(VLOOKUP(I466,'DE-PARA'!B:D,3,0),VLOOKUP(I466,'DE-PARA'!C:D,2,0)),"NÃO ENCONTRADO")</f>
        <v>Despesas com Viagens</v>
      </c>
      <c r="L466" s="50" t="str">
        <f>VLOOKUP(K466,'Base -Receita-Despesa'!$B:$P,1,FALSE)</f>
        <v>Despesas com Viagens</v>
      </c>
    </row>
    <row r="467" spans="1:12" ht="15" customHeight="1" x14ac:dyDescent="0.3">
      <c r="A467" s="82" t="str">
        <f t="shared" si="14"/>
        <v>2016</v>
      </c>
      <c r="B467" s="72" t="s">
        <v>131</v>
      </c>
      <c r="C467" s="73" t="s">
        <v>132</v>
      </c>
      <c r="D467" s="74" t="str">
        <f t="shared" si="15"/>
        <v>mar/2016</v>
      </c>
      <c r="E467" s="53">
        <v>42439</v>
      </c>
      <c r="F467" s="75" t="s">
        <v>581</v>
      </c>
      <c r="G467" s="72"/>
      <c r="H467" s="49" t="s">
        <v>193</v>
      </c>
      <c r="I467" s="49" t="s">
        <v>194</v>
      </c>
      <c r="J467" s="76">
        <v>-639</v>
      </c>
      <c r="K467" s="83" t="str">
        <f>IFERROR(IFERROR(VLOOKUP(I467,'DE-PARA'!B:D,3,0),VLOOKUP(I467,'DE-PARA'!C:D,2,0)),"NÃO ENCONTRADO")</f>
        <v>Despesas com Viagens</v>
      </c>
      <c r="L467" s="50" t="str">
        <f>VLOOKUP(K467,'Base -Receita-Despesa'!$B:$P,1,FALSE)</f>
        <v>Despesas com Viagens</v>
      </c>
    </row>
    <row r="468" spans="1:12" ht="15" customHeight="1" x14ac:dyDescent="0.3">
      <c r="A468" s="82" t="str">
        <f t="shared" si="14"/>
        <v>2016</v>
      </c>
      <c r="B468" s="72" t="s">
        <v>131</v>
      </c>
      <c r="C468" s="73" t="s">
        <v>132</v>
      </c>
      <c r="D468" s="74" t="str">
        <f t="shared" si="15"/>
        <v>mar/2016</v>
      </c>
      <c r="E468" s="53">
        <v>42439</v>
      </c>
      <c r="F468" s="75" t="s">
        <v>136</v>
      </c>
      <c r="G468" s="72"/>
      <c r="H468" s="49" t="s">
        <v>149</v>
      </c>
      <c r="I468" s="49" t="s">
        <v>129</v>
      </c>
      <c r="J468" s="76">
        <v>-7.85</v>
      </c>
      <c r="K468" s="83" t="str">
        <f>IFERROR(IFERROR(VLOOKUP(I468,'DE-PARA'!B:D,3,0),VLOOKUP(I468,'DE-PARA'!C:D,2,0)),"NÃO ENCONTRADO")</f>
        <v>Outras Saídas</v>
      </c>
      <c r="L468" s="50" t="str">
        <f>VLOOKUP(K468,'Base -Receita-Despesa'!$B:$P,1,FALSE)</f>
        <v>Outras Saídas</v>
      </c>
    </row>
    <row r="469" spans="1:12" ht="15" customHeight="1" x14ac:dyDescent="0.3">
      <c r="A469" s="82" t="str">
        <f t="shared" si="14"/>
        <v>2016</v>
      </c>
      <c r="B469" s="72" t="s">
        <v>131</v>
      </c>
      <c r="C469" s="73" t="s">
        <v>132</v>
      </c>
      <c r="D469" s="74" t="str">
        <f t="shared" si="15"/>
        <v>mar/2016</v>
      </c>
      <c r="E469" s="53">
        <v>42439</v>
      </c>
      <c r="F469" s="75" t="s">
        <v>136</v>
      </c>
      <c r="G469" s="72"/>
      <c r="H469" s="49" t="s">
        <v>149</v>
      </c>
      <c r="I469" s="49" t="s">
        <v>129</v>
      </c>
      <c r="J469" s="76">
        <v>-7.85</v>
      </c>
      <c r="K469" s="83" t="str">
        <f>IFERROR(IFERROR(VLOOKUP(I469,'DE-PARA'!B:D,3,0),VLOOKUP(I469,'DE-PARA'!C:D,2,0)),"NÃO ENCONTRADO")</f>
        <v>Outras Saídas</v>
      </c>
      <c r="L469" s="50" t="str">
        <f>VLOOKUP(K469,'Base -Receita-Despesa'!$B:$P,1,FALSE)</f>
        <v>Outras Saídas</v>
      </c>
    </row>
    <row r="470" spans="1:12" ht="15" customHeight="1" x14ac:dyDescent="0.3">
      <c r="A470" s="82" t="str">
        <f t="shared" si="14"/>
        <v>2016</v>
      </c>
      <c r="B470" s="72" t="s">
        <v>131</v>
      </c>
      <c r="C470" s="73" t="s">
        <v>132</v>
      </c>
      <c r="D470" s="74" t="str">
        <f t="shared" si="15"/>
        <v>mar/2016</v>
      </c>
      <c r="E470" s="53">
        <v>42439</v>
      </c>
      <c r="F470" s="75" t="s">
        <v>139</v>
      </c>
      <c r="G470" s="72"/>
      <c r="H470" s="49" t="s">
        <v>582</v>
      </c>
      <c r="I470" s="49" t="s">
        <v>159</v>
      </c>
      <c r="J470" s="76">
        <v>50</v>
      </c>
      <c r="K470" s="83" t="str">
        <f>IFERROR(IFERROR(VLOOKUP(I470,'DE-PARA'!B:D,3,0),VLOOKUP(I470,'DE-PARA'!C:D,2,0)),"NÃO ENCONTRADO")</f>
        <v>Materiais</v>
      </c>
      <c r="L470" s="50" t="str">
        <f>VLOOKUP(K470,'Base -Receita-Despesa'!$B:$P,1,FALSE)</f>
        <v>Materiais</v>
      </c>
    </row>
    <row r="471" spans="1:12" ht="15" customHeight="1" x14ac:dyDescent="0.3">
      <c r="A471" s="82" t="str">
        <f t="shared" si="14"/>
        <v>2016</v>
      </c>
      <c r="B471" s="72" t="s">
        <v>131</v>
      </c>
      <c r="C471" s="73" t="s">
        <v>132</v>
      </c>
      <c r="D471" s="74" t="str">
        <f t="shared" si="15"/>
        <v>mar/2016</v>
      </c>
      <c r="E471" s="53">
        <v>42439</v>
      </c>
      <c r="F471" s="75" t="s">
        <v>585</v>
      </c>
      <c r="G471" s="72"/>
      <c r="H471" s="49" t="s">
        <v>218</v>
      </c>
      <c r="I471" s="49" t="s">
        <v>110</v>
      </c>
      <c r="J471" s="76">
        <v>-4392</v>
      </c>
      <c r="K471" s="83" t="str">
        <f>IFERROR(IFERROR(VLOOKUP(I471,'DE-PARA'!B:D,3,0),VLOOKUP(I471,'DE-PARA'!C:D,2,0)),"NÃO ENCONTRADO")</f>
        <v>Serviços</v>
      </c>
      <c r="L471" s="50" t="str">
        <f>VLOOKUP(K471,'Base -Receita-Despesa'!$B:$P,1,FALSE)</f>
        <v>Serviços</v>
      </c>
    </row>
    <row r="472" spans="1:12" ht="15" customHeight="1" x14ac:dyDescent="0.3">
      <c r="A472" s="82" t="str">
        <f t="shared" si="14"/>
        <v>2016</v>
      </c>
      <c r="B472" s="72" t="s">
        <v>131</v>
      </c>
      <c r="C472" s="73" t="s">
        <v>132</v>
      </c>
      <c r="D472" s="74" t="str">
        <f t="shared" si="15"/>
        <v>mar/2016</v>
      </c>
      <c r="E472" s="53">
        <v>42439</v>
      </c>
      <c r="F472" s="75" t="s">
        <v>1435</v>
      </c>
      <c r="G472" s="72"/>
      <c r="H472" s="49" t="s">
        <v>187</v>
      </c>
      <c r="I472" s="49" t="s">
        <v>159</v>
      </c>
      <c r="J472" s="76">
        <v>-258.55</v>
      </c>
      <c r="K472" s="83" t="str">
        <f>IFERROR(IFERROR(VLOOKUP(I472,'DE-PARA'!B:D,3,0),VLOOKUP(I472,'DE-PARA'!C:D,2,0)),"NÃO ENCONTRADO")</f>
        <v>Materiais</v>
      </c>
      <c r="L472" s="50" t="str">
        <f>VLOOKUP(K472,'Base -Receita-Despesa'!$B:$P,1,FALSE)</f>
        <v>Materiais</v>
      </c>
    </row>
    <row r="473" spans="1:12" ht="15" customHeight="1" x14ac:dyDescent="0.3">
      <c r="A473" s="82" t="str">
        <f t="shared" si="14"/>
        <v>2016</v>
      </c>
      <c r="B473" s="72" t="s">
        <v>131</v>
      </c>
      <c r="C473" s="73" t="s">
        <v>132</v>
      </c>
      <c r="D473" s="74" t="str">
        <f t="shared" si="15"/>
        <v>mar/2016</v>
      </c>
      <c r="E473" s="53">
        <v>42439</v>
      </c>
      <c r="F473" s="75" t="s">
        <v>1489</v>
      </c>
      <c r="G473" s="72"/>
      <c r="H473" s="49" t="s">
        <v>187</v>
      </c>
      <c r="I473" s="49" t="s">
        <v>159</v>
      </c>
      <c r="J473" s="76">
        <v>-139.19999999999999</v>
      </c>
      <c r="K473" s="83" t="str">
        <f>IFERROR(IFERROR(VLOOKUP(I473,'DE-PARA'!B:D,3,0),VLOOKUP(I473,'DE-PARA'!C:D,2,0)),"NÃO ENCONTRADO")</f>
        <v>Materiais</v>
      </c>
      <c r="L473" s="50" t="str">
        <f>VLOOKUP(K473,'Base -Receita-Despesa'!$B:$P,1,FALSE)</f>
        <v>Materiais</v>
      </c>
    </row>
    <row r="474" spans="1:12" ht="15" customHeight="1" x14ac:dyDescent="0.3">
      <c r="A474" s="82" t="str">
        <f t="shared" si="14"/>
        <v>2016</v>
      </c>
      <c r="B474" s="72" t="s">
        <v>131</v>
      </c>
      <c r="C474" s="73" t="s">
        <v>132</v>
      </c>
      <c r="D474" s="74" t="str">
        <f t="shared" si="15"/>
        <v>mar/2016</v>
      </c>
      <c r="E474" s="53">
        <v>42440</v>
      </c>
      <c r="F474" s="75" t="s">
        <v>197</v>
      </c>
      <c r="G474" s="72"/>
      <c r="H474" s="49" t="s">
        <v>586</v>
      </c>
      <c r="I474" s="49" t="s">
        <v>129</v>
      </c>
      <c r="J474" s="76">
        <v>91.76</v>
      </c>
      <c r="K474" s="83" t="str">
        <f>IFERROR(IFERROR(VLOOKUP(I474,'DE-PARA'!B:D,3,0),VLOOKUP(I474,'DE-PARA'!C:D,2,0)),"NÃO ENCONTRADO")</f>
        <v>Outras Saídas</v>
      </c>
      <c r="L474" s="50" t="str">
        <f>VLOOKUP(K474,'Base -Receita-Despesa'!$B:$P,1,FALSE)</f>
        <v>Outras Saídas</v>
      </c>
    </row>
    <row r="475" spans="1:12" ht="15" customHeight="1" x14ac:dyDescent="0.3">
      <c r="A475" s="82" t="str">
        <f t="shared" si="14"/>
        <v>2016</v>
      </c>
      <c r="B475" s="72" t="s">
        <v>131</v>
      </c>
      <c r="C475" s="73" t="s">
        <v>132</v>
      </c>
      <c r="D475" s="74" t="str">
        <f t="shared" si="15"/>
        <v>mar/2016</v>
      </c>
      <c r="E475" s="53">
        <v>42440</v>
      </c>
      <c r="F475" s="75" t="s">
        <v>486</v>
      </c>
      <c r="G475" s="72"/>
      <c r="H475" s="49" t="s">
        <v>224</v>
      </c>
      <c r="I475" s="49" t="s">
        <v>150</v>
      </c>
      <c r="J475" s="76">
        <v>-800</v>
      </c>
      <c r="K475" s="83" t="str">
        <f>IFERROR(IFERROR(VLOOKUP(I475,'DE-PARA'!B:D,3,0),VLOOKUP(I475,'DE-PARA'!C:D,2,0)),"NÃO ENCONTRADO")</f>
        <v>Materiais</v>
      </c>
      <c r="L475" s="50" t="str">
        <f>VLOOKUP(K475,'Base -Receita-Despesa'!$B:$P,1,FALSE)</f>
        <v>Materiais</v>
      </c>
    </row>
    <row r="476" spans="1:12" ht="15" customHeight="1" x14ac:dyDescent="0.3">
      <c r="A476" s="82" t="str">
        <f t="shared" si="14"/>
        <v>2016</v>
      </c>
      <c r="B476" s="72" t="s">
        <v>131</v>
      </c>
      <c r="C476" s="73" t="s">
        <v>132</v>
      </c>
      <c r="D476" s="74" t="str">
        <f t="shared" si="15"/>
        <v>mar/2016</v>
      </c>
      <c r="E476" s="53">
        <v>42440</v>
      </c>
      <c r="F476" s="75" t="s">
        <v>587</v>
      </c>
      <c r="G476" s="72"/>
      <c r="H476" s="49" t="s">
        <v>588</v>
      </c>
      <c r="I476" s="49" t="s">
        <v>159</v>
      </c>
      <c r="J476" s="76">
        <v>-838.13</v>
      </c>
      <c r="K476" s="83" t="str">
        <f>IFERROR(IFERROR(VLOOKUP(I476,'DE-PARA'!B:D,3,0),VLOOKUP(I476,'DE-PARA'!C:D,2,0)),"NÃO ENCONTRADO")</f>
        <v>Materiais</v>
      </c>
      <c r="L476" s="50" t="str">
        <f>VLOOKUP(K476,'Base -Receita-Despesa'!$B:$P,1,FALSE)</f>
        <v>Materiais</v>
      </c>
    </row>
    <row r="477" spans="1:12" ht="15" customHeight="1" x14ac:dyDescent="0.3">
      <c r="A477" s="82" t="str">
        <f t="shared" si="14"/>
        <v>2016</v>
      </c>
      <c r="B477" s="72" t="s">
        <v>131</v>
      </c>
      <c r="C477" s="73" t="s">
        <v>132</v>
      </c>
      <c r="D477" s="74" t="str">
        <f t="shared" si="15"/>
        <v>mar/2016</v>
      </c>
      <c r="E477" s="53">
        <v>42443</v>
      </c>
      <c r="F477" s="75" t="s">
        <v>154</v>
      </c>
      <c r="G477" s="72"/>
      <c r="H477" s="49" t="s">
        <v>552</v>
      </c>
      <c r="I477" s="49" t="s">
        <v>1497</v>
      </c>
      <c r="J477" s="76">
        <v>181482.19</v>
      </c>
      <c r="K477" s="83" t="str">
        <f>IFERROR(IFERROR(VLOOKUP(I477,'DE-PARA'!B:D,3,0),VLOOKUP(I477,'DE-PARA'!C:D,2,0)),"NÃO ENCONTRADO")</f>
        <v>Repasses Contrato de Gestão</v>
      </c>
      <c r="L477" s="50" t="str">
        <f>VLOOKUP(K477,'Base -Receita-Despesa'!$B:$P,1,FALSE)</f>
        <v>Repasses Contrato de Gestão</v>
      </c>
    </row>
    <row r="478" spans="1:12" ht="15" customHeight="1" x14ac:dyDescent="0.3">
      <c r="A478" s="82" t="str">
        <f t="shared" si="14"/>
        <v>2016</v>
      </c>
      <c r="B478" s="72" t="s">
        <v>131</v>
      </c>
      <c r="C478" s="73" t="s">
        <v>132</v>
      </c>
      <c r="D478" s="74" t="str">
        <f t="shared" si="15"/>
        <v>mar/2016</v>
      </c>
      <c r="E478" s="53">
        <v>42443</v>
      </c>
      <c r="F478" s="75" t="s">
        <v>589</v>
      </c>
      <c r="G478" s="72"/>
      <c r="H478" s="49" t="s">
        <v>590</v>
      </c>
      <c r="I478" s="49" t="s">
        <v>317</v>
      </c>
      <c r="J478" s="76">
        <v>-3400</v>
      </c>
      <c r="K478" s="83" t="str">
        <f>IFERROR(IFERROR(VLOOKUP(I478,'DE-PARA'!B:D,3,0),VLOOKUP(I478,'DE-PARA'!C:D,2,0)),"NÃO ENCONTRADO")</f>
        <v>Investimentos</v>
      </c>
      <c r="L478" s="50" t="str">
        <f>VLOOKUP(K478,'Base -Receita-Despesa'!$B:$P,1,FALSE)</f>
        <v>Investimentos</v>
      </c>
    </row>
    <row r="479" spans="1:12" ht="15" customHeight="1" x14ac:dyDescent="0.3">
      <c r="A479" s="82" t="str">
        <f t="shared" si="14"/>
        <v>2016</v>
      </c>
      <c r="B479" s="72" t="s">
        <v>131</v>
      </c>
      <c r="C479" s="73" t="s">
        <v>132</v>
      </c>
      <c r="D479" s="74" t="str">
        <f t="shared" si="15"/>
        <v>mar/2016</v>
      </c>
      <c r="E479" s="53">
        <v>42443</v>
      </c>
      <c r="F479" s="75" t="s">
        <v>591</v>
      </c>
      <c r="G479" s="72"/>
      <c r="H479" s="49" t="s">
        <v>592</v>
      </c>
      <c r="I479" s="49" t="s">
        <v>189</v>
      </c>
      <c r="J479" s="76">
        <v>-440</v>
      </c>
      <c r="K479" s="83" t="str">
        <f>IFERROR(IFERROR(VLOOKUP(I479,'DE-PARA'!B:D,3,0),VLOOKUP(I479,'DE-PARA'!C:D,2,0)),"NÃO ENCONTRADO")</f>
        <v>Materiais</v>
      </c>
      <c r="L479" s="50" t="str">
        <f>VLOOKUP(K479,'Base -Receita-Despesa'!$B:$P,1,FALSE)</f>
        <v>Materiais</v>
      </c>
    </row>
    <row r="480" spans="1:12" ht="15" customHeight="1" x14ac:dyDescent="0.3">
      <c r="A480" s="82" t="str">
        <f t="shared" si="14"/>
        <v>2016</v>
      </c>
      <c r="B480" s="72" t="s">
        <v>131</v>
      </c>
      <c r="C480" s="73" t="s">
        <v>132</v>
      </c>
      <c r="D480" s="74" t="str">
        <f t="shared" si="15"/>
        <v>mar/2016</v>
      </c>
      <c r="E480" s="53">
        <v>42443</v>
      </c>
      <c r="F480" s="75" t="s">
        <v>593</v>
      </c>
      <c r="G480" s="72"/>
      <c r="H480" s="49" t="s">
        <v>221</v>
      </c>
      <c r="I480" s="49" t="s">
        <v>110</v>
      </c>
      <c r="J480" s="76">
        <v>-3720</v>
      </c>
      <c r="K480" s="83" t="str">
        <f>IFERROR(IFERROR(VLOOKUP(I480,'DE-PARA'!B:D,3,0),VLOOKUP(I480,'DE-PARA'!C:D,2,0)),"NÃO ENCONTRADO")</f>
        <v>Serviços</v>
      </c>
      <c r="L480" s="50" t="str">
        <f>VLOOKUP(K480,'Base -Receita-Despesa'!$B:$P,1,FALSE)</f>
        <v>Serviços</v>
      </c>
    </row>
    <row r="481" spans="1:12" ht="15" customHeight="1" x14ac:dyDescent="0.3">
      <c r="A481" s="82" t="str">
        <f t="shared" si="14"/>
        <v>2016</v>
      </c>
      <c r="B481" s="72" t="s">
        <v>131</v>
      </c>
      <c r="C481" s="73" t="s">
        <v>132</v>
      </c>
      <c r="D481" s="74" t="str">
        <f t="shared" si="15"/>
        <v>mar/2016</v>
      </c>
      <c r="E481" s="53">
        <v>42443</v>
      </c>
      <c r="F481" s="75" t="s">
        <v>338</v>
      </c>
      <c r="G481" s="72"/>
      <c r="H481" s="49" t="s">
        <v>213</v>
      </c>
      <c r="I481" s="49" t="s">
        <v>159</v>
      </c>
      <c r="J481" s="76">
        <v>-980.64</v>
      </c>
      <c r="K481" s="83" t="str">
        <f>IFERROR(IFERROR(VLOOKUP(I481,'DE-PARA'!B:D,3,0),VLOOKUP(I481,'DE-PARA'!C:D,2,0)),"NÃO ENCONTRADO")</f>
        <v>Materiais</v>
      </c>
      <c r="L481" s="50" t="str">
        <f>VLOOKUP(K481,'Base -Receita-Despesa'!$B:$P,1,FALSE)</f>
        <v>Materiais</v>
      </c>
    </row>
    <row r="482" spans="1:12" ht="15" customHeight="1" x14ac:dyDescent="0.3">
      <c r="A482" s="82" t="str">
        <f t="shared" si="14"/>
        <v>2016</v>
      </c>
      <c r="B482" s="72" t="s">
        <v>131</v>
      </c>
      <c r="C482" s="73" t="s">
        <v>132</v>
      </c>
      <c r="D482" s="74" t="str">
        <f t="shared" si="15"/>
        <v>mar/2016</v>
      </c>
      <c r="E482" s="53">
        <v>42443</v>
      </c>
      <c r="F482" s="75" t="s">
        <v>199</v>
      </c>
      <c r="G482" s="72"/>
      <c r="H482" s="49" t="s">
        <v>383</v>
      </c>
      <c r="I482" s="49" t="s">
        <v>192</v>
      </c>
      <c r="J482" s="76">
        <v>-497.96</v>
      </c>
      <c r="K482" s="83" t="str">
        <f>IFERROR(IFERROR(VLOOKUP(I482,'DE-PARA'!B:D,3,0),VLOOKUP(I482,'DE-PARA'!C:D,2,0)),"NÃO ENCONTRADO")</f>
        <v>Materiais</v>
      </c>
      <c r="L482" s="50" t="str">
        <f>VLOOKUP(K482,'Base -Receita-Despesa'!$B:$P,1,FALSE)</f>
        <v>Materiais</v>
      </c>
    </row>
    <row r="483" spans="1:12" ht="15" customHeight="1" x14ac:dyDescent="0.3">
      <c r="A483" s="82" t="str">
        <f t="shared" si="14"/>
        <v>2016</v>
      </c>
      <c r="B483" s="72" t="s">
        <v>131</v>
      </c>
      <c r="C483" s="73" t="s">
        <v>132</v>
      </c>
      <c r="D483" s="74" t="str">
        <f t="shared" si="15"/>
        <v>mar/2016</v>
      </c>
      <c r="E483" s="53">
        <v>42443</v>
      </c>
      <c r="F483" s="75" t="s">
        <v>199</v>
      </c>
      <c r="G483" s="72"/>
      <c r="H483" s="49" t="s">
        <v>383</v>
      </c>
      <c r="I483" s="49" t="s">
        <v>192</v>
      </c>
      <c r="J483" s="76">
        <v>-185.7</v>
      </c>
      <c r="K483" s="83" t="str">
        <f>IFERROR(IFERROR(VLOOKUP(I483,'DE-PARA'!B:D,3,0),VLOOKUP(I483,'DE-PARA'!C:D,2,0)),"NÃO ENCONTRADO")</f>
        <v>Materiais</v>
      </c>
      <c r="L483" s="50" t="str">
        <f>VLOOKUP(K483,'Base -Receita-Despesa'!$B:$P,1,FALSE)</f>
        <v>Materiais</v>
      </c>
    </row>
    <row r="484" spans="1:12" ht="15" customHeight="1" x14ac:dyDescent="0.3">
      <c r="A484" s="82" t="str">
        <f t="shared" si="14"/>
        <v>2016</v>
      </c>
      <c r="B484" s="72" t="s">
        <v>131</v>
      </c>
      <c r="C484" s="73" t="s">
        <v>132</v>
      </c>
      <c r="D484" s="74" t="str">
        <f t="shared" si="15"/>
        <v>mar/2016</v>
      </c>
      <c r="E484" s="53">
        <v>42443</v>
      </c>
      <c r="F484" s="75">
        <v>441343</v>
      </c>
      <c r="G484" s="72"/>
      <c r="H484" s="49" t="s">
        <v>383</v>
      </c>
      <c r="I484" s="49" t="s">
        <v>192</v>
      </c>
      <c r="J484" s="76">
        <v>-497.96</v>
      </c>
      <c r="K484" s="83" t="str">
        <f>IFERROR(IFERROR(VLOOKUP(I484,'DE-PARA'!B:D,3,0),VLOOKUP(I484,'DE-PARA'!C:D,2,0)),"NÃO ENCONTRADO")</f>
        <v>Materiais</v>
      </c>
      <c r="L484" s="50" t="str">
        <f>VLOOKUP(K484,'Base -Receita-Despesa'!$B:$P,1,FALSE)</f>
        <v>Materiais</v>
      </c>
    </row>
    <row r="485" spans="1:12" ht="15" customHeight="1" x14ac:dyDescent="0.3">
      <c r="A485" s="82" t="str">
        <f t="shared" si="14"/>
        <v>2016</v>
      </c>
      <c r="B485" s="72" t="s">
        <v>131</v>
      </c>
      <c r="C485" s="73" t="s">
        <v>132</v>
      </c>
      <c r="D485" s="74" t="str">
        <f t="shared" si="15"/>
        <v>mar/2016</v>
      </c>
      <c r="E485" s="53">
        <v>42443</v>
      </c>
      <c r="F485" s="75">
        <v>443848</v>
      </c>
      <c r="G485" s="72"/>
      <c r="H485" s="49" t="s">
        <v>383</v>
      </c>
      <c r="I485" s="49" t="s">
        <v>192</v>
      </c>
      <c r="J485" s="76">
        <v>-185.7</v>
      </c>
      <c r="K485" s="83" t="str">
        <f>IFERROR(IFERROR(VLOOKUP(I485,'DE-PARA'!B:D,3,0),VLOOKUP(I485,'DE-PARA'!C:D,2,0)),"NÃO ENCONTRADO")</f>
        <v>Materiais</v>
      </c>
      <c r="L485" s="50" t="str">
        <f>VLOOKUP(K485,'Base -Receita-Despesa'!$B:$P,1,FALSE)</f>
        <v>Materiais</v>
      </c>
    </row>
    <row r="486" spans="1:12" ht="15" customHeight="1" x14ac:dyDescent="0.3">
      <c r="A486" s="82" t="str">
        <f t="shared" si="14"/>
        <v>2016</v>
      </c>
      <c r="B486" s="72" t="s">
        <v>131</v>
      </c>
      <c r="C486" s="73" t="s">
        <v>132</v>
      </c>
      <c r="D486" s="74" t="str">
        <f t="shared" si="15"/>
        <v>mar/2016</v>
      </c>
      <c r="E486" s="53">
        <v>42443</v>
      </c>
      <c r="F486" s="75" t="s">
        <v>1437</v>
      </c>
      <c r="G486" s="72"/>
      <c r="H486" s="49" t="s">
        <v>187</v>
      </c>
      <c r="I486" s="49" t="s">
        <v>159</v>
      </c>
      <c r="J486" s="76">
        <v>-195</v>
      </c>
      <c r="K486" s="83" t="str">
        <f>IFERROR(IFERROR(VLOOKUP(I486,'DE-PARA'!B:D,3,0),VLOOKUP(I486,'DE-PARA'!C:D,2,0)),"NÃO ENCONTRADO")</f>
        <v>Materiais</v>
      </c>
      <c r="L486" s="50" t="str">
        <f>VLOOKUP(K486,'Base -Receita-Despesa'!$B:$P,1,FALSE)</f>
        <v>Materiais</v>
      </c>
    </row>
    <row r="487" spans="1:12" ht="15" customHeight="1" x14ac:dyDescent="0.3">
      <c r="A487" s="82" t="str">
        <f t="shared" si="14"/>
        <v>2016</v>
      </c>
      <c r="B487" s="72" t="s">
        <v>131</v>
      </c>
      <c r="C487" s="73" t="s">
        <v>132</v>
      </c>
      <c r="D487" s="74" t="str">
        <f t="shared" si="15"/>
        <v>mar/2016</v>
      </c>
      <c r="E487" s="53">
        <v>42444</v>
      </c>
      <c r="F487" s="75" t="s">
        <v>594</v>
      </c>
      <c r="G487" s="72"/>
      <c r="H487" s="49" t="s">
        <v>594</v>
      </c>
      <c r="I487" s="49" t="s">
        <v>1048</v>
      </c>
      <c r="J487" s="76">
        <v>0</v>
      </c>
      <c r="K487" s="83" t="str">
        <f>IFERROR(IFERROR(VLOOKUP(I487,'DE-PARA'!B:D,3,0),VLOOKUP(I487,'DE-PARA'!C:D,2,0)),"NÃO ENCONTRADO")</f>
        <v>Saídas Da C/A Por Regates (-)</v>
      </c>
      <c r="L487" s="50" t="str">
        <f>VLOOKUP(K487,'Base -Receita-Despesa'!$B:$P,1,FALSE)</f>
        <v>SAÍDAS DA C/A POR REGATES (-)</v>
      </c>
    </row>
    <row r="488" spans="1:12" ht="15" customHeight="1" x14ac:dyDescent="0.3">
      <c r="A488" s="82" t="str">
        <f t="shared" si="14"/>
        <v>2016</v>
      </c>
      <c r="B488" s="72" t="s">
        <v>131</v>
      </c>
      <c r="C488" s="73" t="s">
        <v>132</v>
      </c>
      <c r="D488" s="74" t="str">
        <f t="shared" si="15"/>
        <v>mar/2016</v>
      </c>
      <c r="E488" s="53">
        <v>42444</v>
      </c>
      <c r="F488" s="75" t="s">
        <v>154</v>
      </c>
      <c r="G488" s="72"/>
      <c r="H488" s="49" t="s">
        <v>552</v>
      </c>
      <c r="I488" s="49" t="s">
        <v>1497</v>
      </c>
      <c r="J488" s="76">
        <v>221811.56</v>
      </c>
      <c r="K488" s="83" t="str">
        <f>IFERROR(IFERROR(VLOOKUP(I488,'DE-PARA'!B:D,3,0),VLOOKUP(I488,'DE-PARA'!C:D,2,0)),"NÃO ENCONTRADO")</f>
        <v>Repasses Contrato de Gestão</v>
      </c>
      <c r="L488" s="50" t="str">
        <f>VLOOKUP(K488,'Base -Receita-Despesa'!$B:$P,1,FALSE)</f>
        <v>Repasses Contrato de Gestão</v>
      </c>
    </row>
    <row r="489" spans="1:12" ht="15" customHeight="1" x14ac:dyDescent="0.3">
      <c r="A489" s="82" t="str">
        <f t="shared" si="14"/>
        <v>2016</v>
      </c>
      <c r="B489" s="72" t="s">
        <v>131</v>
      </c>
      <c r="C489" s="73" t="s">
        <v>132</v>
      </c>
      <c r="D489" s="74" t="str">
        <f t="shared" si="15"/>
        <v>mar/2016</v>
      </c>
      <c r="E489" s="53">
        <v>42444</v>
      </c>
      <c r="F489" s="75" t="s">
        <v>595</v>
      </c>
      <c r="G489" s="72"/>
      <c r="H489" s="49" t="s">
        <v>271</v>
      </c>
      <c r="I489" s="49" t="s">
        <v>138</v>
      </c>
      <c r="J489" s="76">
        <v>-2450</v>
      </c>
      <c r="K489" s="83" t="str">
        <f>IFERROR(IFERROR(VLOOKUP(I489,'DE-PARA'!B:D,3,0),VLOOKUP(I489,'DE-PARA'!C:D,2,0)),"NÃO ENCONTRADO")</f>
        <v>Serviços</v>
      </c>
      <c r="L489" s="50" t="str">
        <f>VLOOKUP(K489,'Base -Receita-Despesa'!$B:$P,1,FALSE)</f>
        <v>Serviços</v>
      </c>
    </row>
    <row r="490" spans="1:12" ht="15" customHeight="1" x14ac:dyDescent="0.3">
      <c r="A490" s="82" t="str">
        <f t="shared" si="14"/>
        <v>2016</v>
      </c>
      <c r="B490" s="72" t="s">
        <v>131</v>
      </c>
      <c r="C490" s="73" t="s">
        <v>132</v>
      </c>
      <c r="D490" s="74" t="str">
        <f t="shared" si="15"/>
        <v>mar/2016</v>
      </c>
      <c r="E490" s="53">
        <v>42444</v>
      </c>
      <c r="F490" s="75" t="s">
        <v>596</v>
      </c>
      <c r="G490" s="72"/>
      <c r="H490" s="49" t="s">
        <v>176</v>
      </c>
      <c r="I490" s="49" t="s">
        <v>177</v>
      </c>
      <c r="J490" s="76">
        <v>-3598.62</v>
      </c>
      <c r="K490" s="83" t="str">
        <f>IFERROR(IFERROR(VLOOKUP(I490,'DE-PARA'!B:D,3,0),VLOOKUP(I490,'DE-PARA'!C:D,2,0)),"NÃO ENCONTRADO")</f>
        <v>Materiais</v>
      </c>
      <c r="L490" s="50" t="str">
        <f>VLOOKUP(K490,'Base -Receita-Despesa'!$B:$P,1,FALSE)</f>
        <v>Materiais</v>
      </c>
    </row>
    <row r="491" spans="1:12" ht="15" customHeight="1" x14ac:dyDescent="0.3">
      <c r="A491" s="82" t="str">
        <f t="shared" si="14"/>
        <v>2016</v>
      </c>
      <c r="B491" s="72" t="s">
        <v>131</v>
      </c>
      <c r="C491" s="73" t="s">
        <v>132</v>
      </c>
      <c r="D491" s="74" t="str">
        <f t="shared" si="15"/>
        <v>mar/2016</v>
      </c>
      <c r="E491" s="53">
        <v>42444</v>
      </c>
      <c r="F491" s="75" t="s">
        <v>597</v>
      </c>
      <c r="G491" s="72"/>
      <c r="H491" s="49" t="s">
        <v>514</v>
      </c>
      <c r="I491" s="49" t="s">
        <v>515</v>
      </c>
      <c r="J491" s="76">
        <v>-25000</v>
      </c>
      <c r="K491" s="83" t="str">
        <f>IFERROR(IFERROR(VLOOKUP(I491,'DE-PARA'!B:D,3,0),VLOOKUP(I491,'DE-PARA'!C:D,2,0)),"NÃO ENCONTRADO")</f>
        <v>Serviços</v>
      </c>
      <c r="L491" s="50" t="str">
        <f>VLOOKUP(K491,'Base -Receita-Despesa'!$B:$P,1,FALSE)</f>
        <v>Serviços</v>
      </c>
    </row>
    <row r="492" spans="1:12" ht="15" customHeight="1" x14ac:dyDescent="0.3">
      <c r="A492" s="82" t="str">
        <f t="shared" si="14"/>
        <v>2016</v>
      </c>
      <c r="B492" s="72" t="s">
        <v>131</v>
      </c>
      <c r="C492" s="73" t="s">
        <v>132</v>
      </c>
      <c r="D492" s="74" t="str">
        <f t="shared" si="15"/>
        <v>mar/2016</v>
      </c>
      <c r="E492" s="53">
        <v>42444</v>
      </c>
      <c r="F492" s="75" t="s">
        <v>598</v>
      </c>
      <c r="G492" s="72"/>
      <c r="H492" s="49" t="s">
        <v>533</v>
      </c>
      <c r="I492" s="49" t="s">
        <v>159</v>
      </c>
      <c r="J492" s="76">
        <v>-608</v>
      </c>
      <c r="K492" s="83" t="str">
        <f>IFERROR(IFERROR(VLOOKUP(I492,'DE-PARA'!B:D,3,0),VLOOKUP(I492,'DE-PARA'!C:D,2,0)),"NÃO ENCONTRADO")</f>
        <v>Materiais</v>
      </c>
      <c r="L492" s="50" t="str">
        <f>VLOOKUP(K492,'Base -Receita-Despesa'!$B:$P,1,FALSE)</f>
        <v>Materiais</v>
      </c>
    </row>
    <row r="493" spans="1:12" ht="15" customHeight="1" x14ac:dyDescent="0.3">
      <c r="A493" s="82" t="str">
        <f t="shared" si="14"/>
        <v>2016</v>
      </c>
      <c r="B493" s="72" t="s">
        <v>131</v>
      </c>
      <c r="C493" s="73" t="s">
        <v>132</v>
      </c>
      <c r="D493" s="74" t="str">
        <f t="shared" si="15"/>
        <v>mar/2016</v>
      </c>
      <c r="E493" s="53">
        <v>42444</v>
      </c>
      <c r="F493" s="75" t="s">
        <v>599</v>
      </c>
      <c r="G493" s="72"/>
      <c r="H493" s="49" t="s">
        <v>179</v>
      </c>
      <c r="I493" s="49" t="s">
        <v>180</v>
      </c>
      <c r="J493" s="76">
        <v>-33655.65</v>
      </c>
      <c r="K493" s="83" t="str">
        <f>IFERROR(IFERROR(VLOOKUP(I493,'DE-PARA'!B:D,3,0),VLOOKUP(I493,'DE-PARA'!C:D,2,0)),"NÃO ENCONTRADO")</f>
        <v>Serviços</v>
      </c>
      <c r="L493" s="50" t="str">
        <f>VLOOKUP(K493,'Base -Receita-Despesa'!$B:$P,1,FALSE)</f>
        <v>Serviços</v>
      </c>
    </row>
    <row r="494" spans="1:12" ht="15" customHeight="1" x14ac:dyDescent="0.3">
      <c r="A494" s="82" t="str">
        <f t="shared" si="14"/>
        <v>2016</v>
      </c>
      <c r="B494" s="72" t="s">
        <v>131</v>
      </c>
      <c r="C494" s="73" t="s">
        <v>132</v>
      </c>
      <c r="D494" s="74" t="str">
        <f t="shared" si="15"/>
        <v>mar/2016</v>
      </c>
      <c r="E494" s="53">
        <v>42444</v>
      </c>
      <c r="F494" s="75" t="s">
        <v>600</v>
      </c>
      <c r="G494" s="72"/>
      <c r="H494" s="49" t="s">
        <v>226</v>
      </c>
      <c r="I494" s="49" t="s">
        <v>177</v>
      </c>
      <c r="J494" s="76">
        <v>-4317.3599999999997</v>
      </c>
      <c r="K494" s="83" t="str">
        <f>IFERROR(IFERROR(VLOOKUP(I494,'DE-PARA'!B:D,3,0),VLOOKUP(I494,'DE-PARA'!C:D,2,0)),"NÃO ENCONTRADO")</f>
        <v>Materiais</v>
      </c>
      <c r="L494" s="50" t="str">
        <f>VLOOKUP(K494,'Base -Receita-Despesa'!$B:$P,1,FALSE)</f>
        <v>Materiais</v>
      </c>
    </row>
    <row r="495" spans="1:12" ht="15" customHeight="1" x14ac:dyDescent="0.3">
      <c r="A495" s="82" t="str">
        <f t="shared" si="14"/>
        <v>2016</v>
      </c>
      <c r="B495" s="72" t="s">
        <v>131</v>
      </c>
      <c r="C495" s="73" t="s">
        <v>132</v>
      </c>
      <c r="D495" s="74" t="str">
        <f t="shared" si="15"/>
        <v>mar/2016</v>
      </c>
      <c r="E495" s="53">
        <v>42444</v>
      </c>
      <c r="F495" s="75" t="s">
        <v>402</v>
      </c>
      <c r="G495" s="72"/>
      <c r="H495" s="49" t="s">
        <v>213</v>
      </c>
      <c r="I495" s="49" t="s">
        <v>159</v>
      </c>
      <c r="J495" s="76">
        <v>-414.67</v>
      </c>
      <c r="K495" s="83" t="str">
        <f>IFERROR(IFERROR(VLOOKUP(I495,'DE-PARA'!B:D,3,0),VLOOKUP(I495,'DE-PARA'!C:D,2,0)),"NÃO ENCONTRADO")</f>
        <v>Materiais</v>
      </c>
      <c r="L495" s="50" t="str">
        <f>VLOOKUP(K495,'Base -Receita-Despesa'!$B:$P,1,FALSE)</f>
        <v>Materiais</v>
      </c>
    </row>
    <row r="496" spans="1:12" ht="15" customHeight="1" x14ac:dyDescent="0.3">
      <c r="A496" s="82" t="str">
        <f t="shared" si="14"/>
        <v>2016</v>
      </c>
      <c r="B496" s="72" t="s">
        <v>131</v>
      </c>
      <c r="C496" s="73" t="s">
        <v>132</v>
      </c>
      <c r="D496" s="74" t="str">
        <f t="shared" si="15"/>
        <v>mar/2016</v>
      </c>
      <c r="E496" s="53">
        <v>42444</v>
      </c>
      <c r="F496" s="75" t="s">
        <v>378</v>
      </c>
      <c r="G496" s="72"/>
      <c r="H496" s="49" t="s">
        <v>213</v>
      </c>
      <c r="I496" s="49" t="s">
        <v>159</v>
      </c>
      <c r="J496" s="76">
        <v>-771.5</v>
      </c>
      <c r="K496" s="83" t="str">
        <f>IFERROR(IFERROR(VLOOKUP(I496,'DE-PARA'!B:D,3,0),VLOOKUP(I496,'DE-PARA'!C:D,2,0)),"NÃO ENCONTRADO")</f>
        <v>Materiais</v>
      </c>
      <c r="L496" s="50" t="str">
        <f>VLOOKUP(K496,'Base -Receita-Despesa'!$B:$P,1,FALSE)</f>
        <v>Materiais</v>
      </c>
    </row>
    <row r="497" spans="1:12" ht="15" customHeight="1" x14ac:dyDescent="0.3">
      <c r="A497" s="82" t="str">
        <f t="shared" si="14"/>
        <v>2016</v>
      </c>
      <c r="B497" s="72" t="s">
        <v>131</v>
      </c>
      <c r="C497" s="73" t="s">
        <v>132</v>
      </c>
      <c r="D497" s="74" t="str">
        <f t="shared" si="15"/>
        <v>mar/2016</v>
      </c>
      <c r="E497" s="53">
        <v>42444</v>
      </c>
      <c r="F497" s="75" t="s">
        <v>601</v>
      </c>
      <c r="G497" s="72"/>
      <c r="H497" s="49" t="s">
        <v>214</v>
      </c>
      <c r="I497" s="49" t="s">
        <v>114</v>
      </c>
      <c r="J497" s="76">
        <v>-65278.080000000002</v>
      </c>
      <c r="K497" s="83" t="str">
        <f>IFERROR(IFERROR(VLOOKUP(I497,'DE-PARA'!B:D,3,0),VLOOKUP(I497,'DE-PARA'!C:D,2,0)),"NÃO ENCONTRADO")</f>
        <v>Serviços</v>
      </c>
      <c r="L497" s="50" t="str">
        <f>VLOOKUP(K497,'Base -Receita-Despesa'!$B:$P,1,FALSE)</f>
        <v>Serviços</v>
      </c>
    </row>
    <row r="498" spans="1:12" ht="15" customHeight="1" x14ac:dyDescent="0.3">
      <c r="A498" s="82" t="str">
        <f t="shared" si="14"/>
        <v>2016</v>
      </c>
      <c r="B498" s="72" t="s">
        <v>131</v>
      </c>
      <c r="C498" s="73" t="s">
        <v>132</v>
      </c>
      <c r="D498" s="74" t="str">
        <f t="shared" si="15"/>
        <v>mar/2016</v>
      </c>
      <c r="E498" s="53">
        <v>42446</v>
      </c>
      <c r="F498" s="75" t="s">
        <v>155</v>
      </c>
      <c r="G498" s="72"/>
      <c r="H498" s="49" t="s">
        <v>452</v>
      </c>
      <c r="I498" s="49" t="s">
        <v>157</v>
      </c>
      <c r="J498" s="76">
        <v>-6714.8</v>
      </c>
      <c r="K498" s="83" t="str">
        <f>IFERROR(IFERROR(VLOOKUP(I498,'DE-PARA'!B:D,3,0),VLOOKUP(I498,'DE-PARA'!C:D,2,0)),"NÃO ENCONTRADO")</f>
        <v>Concessionárias (água, luz e telefone)</v>
      </c>
      <c r="L498" s="50" t="str">
        <f>VLOOKUP(K498,'Base -Receita-Despesa'!$B:$P,1,FALSE)</f>
        <v>Concessionárias (água, luz e telefone)</v>
      </c>
    </row>
    <row r="499" spans="1:12" ht="15" customHeight="1" x14ac:dyDescent="0.3">
      <c r="A499" s="82" t="str">
        <f t="shared" si="14"/>
        <v>2016</v>
      </c>
      <c r="B499" s="72" t="s">
        <v>131</v>
      </c>
      <c r="C499" s="73" t="s">
        <v>132</v>
      </c>
      <c r="D499" s="74" t="str">
        <f t="shared" si="15"/>
        <v>mar/2016</v>
      </c>
      <c r="E499" s="53">
        <v>42446</v>
      </c>
      <c r="F499" s="75" t="s">
        <v>602</v>
      </c>
      <c r="G499" s="72"/>
      <c r="H499" s="49" t="s">
        <v>198</v>
      </c>
      <c r="I499" s="49" t="s">
        <v>603</v>
      </c>
      <c r="J499" s="76">
        <v>-34314.46</v>
      </c>
      <c r="K499" s="83" t="str">
        <f>IFERROR(IFERROR(VLOOKUP(I499,'DE-PARA'!B:D,3,0),VLOOKUP(I499,'DE-PARA'!C:D,2,0)),"NÃO ENCONTRADO")</f>
        <v>Serviços</v>
      </c>
      <c r="L499" s="50" t="str">
        <f>VLOOKUP(K499,'Base -Receita-Despesa'!$B:$P,1,FALSE)</f>
        <v>Serviços</v>
      </c>
    </row>
    <row r="500" spans="1:12" ht="15" customHeight="1" x14ac:dyDescent="0.3">
      <c r="A500" s="82" t="str">
        <f t="shared" si="14"/>
        <v>2016</v>
      </c>
      <c r="B500" s="72" t="s">
        <v>131</v>
      </c>
      <c r="C500" s="73" t="s">
        <v>132</v>
      </c>
      <c r="D500" s="74" t="str">
        <f t="shared" si="15"/>
        <v>mar/2016</v>
      </c>
      <c r="E500" s="53">
        <v>42446</v>
      </c>
      <c r="F500" s="75" t="s">
        <v>136</v>
      </c>
      <c r="G500" s="72"/>
      <c r="H500" s="49" t="s">
        <v>149</v>
      </c>
      <c r="I500" s="49" t="s">
        <v>129</v>
      </c>
      <c r="J500" s="76">
        <v>-7.85</v>
      </c>
      <c r="K500" s="83" t="str">
        <f>IFERROR(IFERROR(VLOOKUP(I500,'DE-PARA'!B:D,3,0),VLOOKUP(I500,'DE-PARA'!C:D,2,0)),"NÃO ENCONTRADO")</f>
        <v>Outras Saídas</v>
      </c>
      <c r="L500" s="50" t="str">
        <f>VLOOKUP(K500,'Base -Receita-Despesa'!$B:$P,1,FALSE)</f>
        <v>Outras Saídas</v>
      </c>
    </row>
    <row r="501" spans="1:12" ht="15" customHeight="1" x14ac:dyDescent="0.3">
      <c r="A501" s="82" t="str">
        <f t="shared" si="14"/>
        <v>2016</v>
      </c>
      <c r="B501" s="72" t="s">
        <v>131</v>
      </c>
      <c r="C501" s="73" t="s">
        <v>132</v>
      </c>
      <c r="D501" s="74" t="str">
        <f t="shared" si="15"/>
        <v>mar/2016</v>
      </c>
      <c r="E501" s="53">
        <v>42446</v>
      </c>
      <c r="F501" s="75" t="s">
        <v>136</v>
      </c>
      <c r="G501" s="72"/>
      <c r="H501" s="49" t="s">
        <v>149</v>
      </c>
      <c r="I501" s="49" t="s">
        <v>129</v>
      </c>
      <c r="J501" s="76">
        <v>-7.85</v>
      </c>
      <c r="K501" s="83" t="str">
        <f>IFERROR(IFERROR(VLOOKUP(I501,'DE-PARA'!B:D,3,0),VLOOKUP(I501,'DE-PARA'!C:D,2,0)),"NÃO ENCONTRADO")</f>
        <v>Outras Saídas</v>
      </c>
      <c r="L501" s="50" t="str">
        <f>VLOOKUP(K501,'Base -Receita-Despesa'!$B:$P,1,FALSE)</f>
        <v>Outras Saídas</v>
      </c>
    </row>
    <row r="502" spans="1:12" ht="15" customHeight="1" x14ac:dyDescent="0.3">
      <c r="A502" s="82" t="str">
        <f t="shared" si="14"/>
        <v>2016</v>
      </c>
      <c r="B502" s="72" t="s">
        <v>131</v>
      </c>
      <c r="C502" s="73" t="s">
        <v>132</v>
      </c>
      <c r="D502" s="74" t="str">
        <f t="shared" si="15"/>
        <v>mar/2016</v>
      </c>
      <c r="E502" s="53">
        <v>42446</v>
      </c>
      <c r="F502" s="75" t="s">
        <v>604</v>
      </c>
      <c r="G502" s="72"/>
      <c r="H502" s="49" t="s">
        <v>220</v>
      </c>
      <c r="I502" s="49" t="s">
        <v>180</v>
      </c>
      <c r="J502" s="76">
        <v>-4500</v>
      </c>
      <c r="K502" s="83" t="str">
        <f>IFERROR(IFERROR(VLOOKUP(I502,'DE-PARA'!B:D,3,0),VLOOKUP(I502,'DE-PARA'!C:D,2,0)),"NÃO ENCONTRADO")</f>
        <v>Serviços</v>
      </c>
      <c r="L502" s="50" t="str">
        <f>VLOOKUP(K502,'Base -Receita-Despesa'!$B:$P,1,FALSE)</f>
        <v>Serviços</v>
      </c>
    </row>
    <row r="503" spans="1:12" ht="15" customHeight="1" x14ac:dyDescent="0.3">
      <c r="A503" s="82" t="str">
        <f t="shared" si="14"/>
        <v>2016</v>
      </c>
      <c r="B503" s="72" t="s">
        <v>131</v>
      </c>
      <c r="C503" s="73" t="s">
        <v>132</v>
      </c>
      <c r="D503" s="74" t="str">
        <f t="shared" si="15"/>
        <v>mar/2016</v>
      </c>
      <c r="E503" s="53">
        <v>42446</v>
      </c>
      <c r="F503" s="75" t="s">
        <v>605</v>
      </c>
      <c r="G503" s="72"/>
      <c r="H503" s="49" t="s">
        <v>201</v>
      </c>
      <c r="I503" s="49" t="s">
        <v>110</v>
      </c>
      <c r="J503" s="76">
        <v>-1978</v>
      </c>
      <c r="K503" s="83" t="str">
        <f>IFERROR(IFERROR(VLOOKUP(I503,'DE-PARA'!B:D,3,0),VLOOKUP(I503,'DE-PARA'!C:D,2,0)),"NÃO ENCONTRADO")</f>
        <v>Serviços</v>
      </c>
      <c r="L503" s="50" t="str">
        <f>VLOOKUP(K503,'Base -Receita-Despesa'!$B:$P,1,FALSE)</f>
        <v>Serviços</v>
      </c>
    </row>
    <row r="504" spans="1:12" ht="15" customHeight="1" x14ac:dyDescent="0.3">
      <c r="A504" s="82" t="str">
        <f t="shared" si="14"/>
        <v>2016</v>
      </c>
      <c r="B504" s="72" t="s">
        <v>131</v>
      </c>
      <c r="C504" s="73" t="s">
        <v>132</v>
      </c>
      <c r="D504" s="74" t="str">
        <f t="shared" si="15"/>
        <v>mar/2016</v>
      </c>
      <c r="E504" s="53">
        <v>42446</v>
      </c>
      <c r="F504" s="75" t="s">
        <v>606</v>
      </c>
      <c r="G504" s="72"/>
      <c r="H504" s="49" t="s">
        <v>202</v>
      </c>
      <c r="I504" s="49" t="s">
        <v>191</v>
      </c>
      <c r="J504" s="76">
        <v>-10000</v>
      </c>
      <c r="K504" s="83" t="str">
        <f>IFERROR(IFERROR(VLOOKUP(I504,'DE-PARA'!B:D,3,0),VLOOKUP(I504,'DE-PARA'!C:D,2,0)),"NÃO ENCONTRADO")</f>
        <v>Serviços</v>
      </c>
      <c r="L504" s="50" t="str">
        <f>VLOOKUP(K504,'Base -Receita-Despesa'!$B:$P,1,FALSE)</f>
        <v>Serviços</v>
      </c>
    </row>
    <row r="505" spans="1:12" ht="15" customHeight="1" x14ac:dyDescent="0.3">
      <c r="A505" s="82" t="str">
        <f t="shared" si="14"/>
        <v>2016</v>
      </c>
      <c r="B505" s="72" t="s">
        <v>131</v>
      </c>
      <c r="C505" s="73" t="s">
        <v>132</v>
      </c>
      <c r="D505" s="74" t="str">
        <f t="shared" si="15"/>
        <v>mar/2016</v>
      </c>
      <c r="E505" s="53">
        <v>42446</v>
      </c>
      <c r="F505" s="75" t="s">
        <v>557</v>
      </c>
      <c r="G505" s="72"/>
      <c r="H505" s="49" t="s">
        <v>178</v>
      </c>
      <c r="I505" s="49" t="s">
        <v>110</v>
      </c>
      <c r="J505" s="76">
        <v>-2477.64</v>
      </c>
      <c r="K505" s="83" t="str">
        <f>IFERROR(IFERROR(VLOOKUP(I505,'DE-PARA'!B:D,3,0),VLOOKUP(I505,'DE-PARA'!C:D,2,0)),"NÃO ENCONTRADO")</f>
        <v>Serviços</v>
      </c>
      <c r="L505" s="50" t="str">
        <f>VLOOKUP(K505,'Base -Receita-Despesa'!$B:$P,1,FALSE)</f>
        <v>Serviços</v>
      </c>
    </row>
    <row r="506" spans="1:12" ht="15" customHeight="1" x14ac:dyDescent="0.3">
      <c r="A506" s="82" t="str">
        <f t="shared" si="14"/>
        <v>2016</v>
      </c>
      <c r="B506" s="72" t="s">
        <v>131</v>
      </c>
      <c r="C506" s="73" t="s">
        <v>132</v>
      </c>
      <c r="D506" s="74" t="str">
        <f t="shared" si="15"/>
        <v>mar/2016</v>
      </c>
      <c r="E506" s="53">
        <v>42446</v>
      </c>
      <c r="F506" s="75" t="s">
        <v>184</v>
      </c>
      <c r="G506" s="72"/>
      <c r="H506" s="49" t="s">
        <v>607</v>
      </c>
      <c r="I506" s="49" t="s">
        <v>113</v>
      </c>
      <c r="J506" s="76">
        <v>-10945</v>
      </c>
      <c r="K506" s="83" t="str">
        <f>IFERROR(IFERROR(VLOOKUP(I506,'DE-PARA'!B:D,3,0),VLOOKUP(I506,'DE-PARA'!C:D,2,0)),"NÃO ENCONTRADO")</f>
        <v>Serviços</v>
      </c>
      <c r="L506" s="50" t="str">
        <f>VLOOKUP(K506,'Base -Receita-Despesa'!$B:$P,1,FALSE)</f>
        <v>Serviços</v>
      </c>
    </row>
    <row r="507" spans="1:12" ht="15" customHeight="1" x14ac:dyDescent="0.3">
      <c r="A507" s="82" t="str">
        <f t="shared" si="14"/>
        <v>2016</v>
      </c>
      <c r="B507" s="72" t="s">
        <v>131</v>
      </c>
      <c r="C507" s="73" t="s">
        <v>132</v>
      </c>
      <c r="D507" s="74" t="str">
        <f t="shared" si="15"/>
        <v>mar/2016</v>
      </c>
      <c r="E507" s="53">
        <v>42446</v>
      </c>
      <c r="F507" s="75" t="s">
        <v>184</v>
      </c>
      <c r="G507" s="72"/>
      <c r="H507" s="49" t="s">
        <v>608</v>
      </c>
      <c r="I507" s="49" t="s">
        <v>180</v>
      </c>
      <c r="J507" s="76">
        <v>-4389</v>
      </c>
      <c r="K507" s="83" t="str">
        <f>IFERROR(IFERROR(VLOOKUP(I507,'DE-PARA'!B:D,3,0),VLOOKUP(I507,'DE-PARA'!C:D,2,0)),"NÃO ENCONTRADO")</f>
        <v>Serviços</v>
      </c>
      <c r="L507" s="50" t="str">
        <f>VLOOKUP(K507,'Base -Receita-Despesa'!$B:$P,1,FALSE)</f>
        <v>Serviços</v>
      </c>
    </row>
    <row r="508" spans="1:12" ht="15" customHeight="1" x14ac:dyDescent="0.3">
      <c r="A508" s="82" t="str">
        <f t="shared" si="14"/>
        <v>2016</v>
      </c>
      <c r="B508" s="72" t="s">
        <v>131</v>
      </c>
      <c r="C508" s="73" t="s">
        <v>132</v>
      </c>
      <c r="D508" s="74" t="str">
        <f t="shared" si="15"/>
        <v>mar/2016</v>
      </c>
      <c r="E508" s="53">
        <v>42446</v>
      </c>
      <c r="F508" s="75" t="s">
        <v>184</v>
      </c>
      <c r="G508" s="72"/>
      <c r="H508" s="49" t="s">
        <v>609</v>
      </c>
      <c r="I508" s="49" t="s">
        <v>173</v>
      </c>
      <c r="J508" s="76">
        <v>-2123</v>
      </c>
      <c r="K508" s="83" t="str">
        <f>IFERROR(IFERROR(VLOOKUP(I508,'DE-PARA'!B:D,3,0),VLOOKUP(I508,'DE-PARA'!C:D,2,0)),"NÃO ENCONTRADO")</f>
        <v>Serviços</v>
      </c>
      <c r="L508" s="50" t="str">
        <f>VLOOKUP(K508,'Base -Receita-Despesa'!$B:$P,1,FALSE)</f>
        <v>Serviços</v>
      </c>
    </row>
    <row r="509" spans="1:12" ht="15" customHeight="1" x14ac:dyDescent="0.3">
      <c r="A509" s="82" t="str">
        <f t="shared" si="14"/>
        <v>2016</v>
      </c>
      <c r="B509" s="72" t="s">
        <v>131</v>
      </c>
      <c r="C509" s="73" t="s">
        <v>132</v>
      </c>
      <c r="D509" s="74" t="str">
        <f t="shared" si="15"/>
        <v>mar/2016</v>
      </c>
      <c r="E509" s="53">
        <v>42446</v>
      </c>
      <c r="F509" s="75" t="s">
        <v>184</v>
      </c>
      <c r="G509" s="72"/>
      <c r="H509" s="49" t="s">
        <v>610</v>
      </c>
      <c r="I509" s="49" t="s">
        <v>186</v>
      </c>
      <c r="J509" s="76">
        <v>-125718.46</v>
      </c>
      <c r="K509" s="83" t="str">
        <f>IFERROR(IFERROR(VLOOKUP(I509,'DE-PARA'!B:D,3,0),VLOOKUP(I509,'DE-PARA'!C:D,2,0)),"NÃO ENCONTRADO")</f>
        <v>Encargos sobre Folha de Pagamento</v>
      </c>
      <c r="L509" s="50" t="str">
        <f>VLOOKUP(K509,'Base -Receita-Despesa'!$B:$P,1,FALSE)</f>
        <v>Encargos sobre Folha de Pagamento</v>
      </c>
    </row>
    <row r="510" spans="1:12" ht="15" customHeight="1" x14ac:dyDescent="0.3">
      <c r="A510" s="82" t="str">
        <f t="shared" si="14"/>
        <v>2016</v>
      </c>
      <c r="B510" s="72" t="s">
        <v>131</v>
      </c>
      <c r="C510" s="73" t="s">
        <v>132</v>
      </c>
      <c r="D510" s="74" t="str">
        <f t="shared" si="15"/>
        <v>mar/2016</v>
      </c>
      <c r="E510" s="53">
        <v>42446</v>
      </c>
      <c r="F510" s="75" t="s">
        <v>174</v>
      </c>
      <c r="G510" s="72"/>
      <c r="H510" s="49" t="s">
        <v>611</v>
      </c>
      <c r="I510" s="49" t="s">
        <v>185</v>
      </c>
      <c r="J510" s="76">
        <v>-33749.78</v>
      </c>
      <c r="K510" s="83" t="str">
        <f>IFERROR(IFERROR(VLOOKUP(I510,'DE-PARA'!B:D,3,0),VLOOKUP(I510,'DE-PARA'!C:D,2,0)),"NÃO ENCONTRADO")</f>
        <v>Encargos sobre Folha de Pagamento</v>
      </c>
      <c r="L510" s="50" t="str">
        <f>VLOOKUP(K510,'Base -Receita-Despesa'!$B:$P,1,FALSE)</f>
        <v>Encargos sobre Folha de Pagamento</v>
      </c>
    </row>
    <row r="511" spans="1:12" ht="15" customHeight="1" x14ac:dyDescent="0.3">
      <c r="A511" s="82" t="str">
        <f t="shared" si="14"/>
        <v>2016</v>
      </c>
      <c r="B511" s="72" t="s">
        <v>131</v>
      </c>
      <c r="C511" s="73" t="s">
        <v>132</v>
      </c>
      <c r="D511" s="74" t="str">
        <f t="shared" si="15"/>
        <v>mar/2016</v>
      </c>
      <c r="E511" s="53">
        <v>42446</v>
      </c>
      <c r="F511" s="75" t="s">
        <v>174</v>
      </c>
      <c r="G511" s="72"/>
      <c r="H511" s="49" t="s">
        <v>612</v>
      </c>
      <c r="I511" s="49" t="s">
        <v>138</v>
      </c>
      <c r="J511" s="76">
        <v>-103.5</v>
      </c>
      <c r="K511" s="83" t="str">
        <f>IFERROR(IFERROR(VLOOKUP(I511,'DE-PARA'!B:D,3,0),VLOOKUP(I511,'DE-PARA'!C:D,2,0)),"NÃO ENCONTRADO")</f>
        <v>Serviços</v>
      </c>
      <c r="L511" s="50" t="str">
        <f>VLOOKUP(K511,'Base -Receita-Despesa'!$B:$P,1,FALSE)</f>
        <v>Serviços</v>
      </c>
    </row>
    <row r="512" spans="1:12" ht="15" customHeight="1" x14ac:dyDescent="0.3">
      <c r="A512" s="82" t="str">
        <f t="shared" si="14"/>
        <v>2016</v>
      </c>
      <c r="B512" s="72" t="s">
        <v>131</v>
      </c>
      <c r="C512" s="73" t="s">
        <v>132</v>
      </c>
      <c r="D512" s="74" t="str">
        <f t="shared" si="15"/>
        <v>mar/2016</v>
      </c>
      <c r="E512" s="53">
        <v>42446</v>
      </c>
      <c r="F512" s="75" t="s">
        <v>174</v>
      </c>
      <c r="G512" s="72"/>
      <c r="H512" s="49" t="s">
        <v>613</v>
      </c>
      <c r="I512" s="49" t="s">
        <v>185</v>
      </c>
      <c r="J512" s="76">
        <v>-3914.58</v>
      </c>
      <c r="K512" s="83" t="str">
        <f>IFERROR(IFERROR(VLOOKUP(I512,'DE-PARA'!B:D,3,0),VLOOKUP(I512,'DE-PARA'!C:D,2,0)),"NÃO ENCONTRADO")</f>
        <v>Encargos sobre Folha de Pagamento</v>
      </c>
      <c r="L512" s="50" t="str">
        <f>VLOOKUP(K512,'Base -Receita-Despesa'!$B:$P,1,FALSE)</f>
        <v>Encargos sobre Folha de Pagamento</v>
      </c>
    </row>
    <row r="513" spans="1:12" ht="15" customHeight="1" x14ac:dyDescent="0.3">
      <c r="A513" s="82" t="str">
        <f t="shared" si="14"/>
        <v>2016</v>
      </c>
      <c r="B513" s="72" t="s">
        <v>131</v>
      </c>
      <c r="C513" s="73" t="s">
        <v>132</v>
      </c>
      <c r="D513" s="74" t="str">
        <f t="shared" si="15"/>
        <v>mar/2016</v>
      </c>
      <c r="E513" s="53">
        <v>42446</v>
      </c>
      <c r="F513" s="75" t="s">
        <v>174</v>
      </c>
      <c r="G513" s="72"/>
      <c r="H513" s="49" t="s">
        <v>614</v>
      </c>
      <c r="I513" s="49" t="s">
        <v>185</v>
      </c>
      <c r="J513" s="76">
        <v>-4825.3599999999997</v>
      </c>
      <c r="K513" s="83" t="str">
        <f>IFERROR(IFERROR(VLOOKUP(I513,'DE-PARA'!B:D,3,0),VLOOKUP(I513,'DE-PARA'!C:D,2,0)),"NÃO ENCONTRADO")</f>
        <v>Encargos sobre Folha de Pagamento</v>
      </c>
      <c r="L513" s="50" t="str">
        <f>VLOOKUP(K513,'Base -Receita-Despesa'!$B:$P,1,FALSE)</f>
        <v>Encargos sobre Folha de Pagamento</v>
      </c>
    </row>
    <row r="514" spans="1:12" ht="15" customHeight="1" x14ac:dyDescent="0.3">
      <c r="A514" s="82" t="str">
        <f t="shared" si="14"/>
        <v>2016</v>
      </c>
      <c r="B514" s="72" t="s">
        <v>131</v>
      </c>
      <c r="C514" s="73" t="s">
        <v>132</v>
      </c>
      <c r="D514" s="74" t="str">
        <f t="shared" si="15"/>
        <v>mar/2016</v>
      </c>
      <c r="E514" s="53">
        <v>42446</v>
      </c>
      <c r="F514" s="75" t="s">
        <v>174</v>
      </c>
      <c r="G514" s="72"/>
      <c r="H514" s="49" t="s">
        <v>615</v>
      </c>
      <c r="I514" s="49" t="s">
        <v>113</v>
      </c>
      <c r="J514" s="76">
        <v>-995</v>
      </c>
      <c r="K514" s="83" t="str">
        <f>IFERROR(IFERROR(VLOOKUP(I514,'DE-PARA'!B:D,3,0),VLOOKUP(I514,'DE-PARA'!C:D,2,0)),"NÃO ENCONTRADO")</f>
        <v>Serviços</v>
      </c>
      <c r="L514" s="50" t="str">
        <f>VLOOKUP(K514,'Base -Receita-Despesa'!$B:$P,1,FALSE)</f>
        <v>Serviços</v>
      </c>
    </row>
    <row r="515" spans="1:12" ht="15" customHeight="1" x14ac:dyDescent="0.3">
      <c r="A515" s="82" t="str">
        <f t="shared" si="14"/>
        <v>2016</v>
      </c>
      <c r="B515" s="72" t="s">
        <v>131</v>
      </c>
      <c r="C515" s="73" t="s">
        <v>132</v>
      </c>
      <c r="D515" s="74" t="str">
        <f t="shared" si="15"/>
        <v>mar/2016</v>
      </c>
      <c r="E515" s="53">
        <v>42446</v>
      </c>
      <c r="F515" s="75" t="s">
        <v>174</v>
      </c>
      <c r="G515" s="72"/>
      <c r="H515" s="49" t="s">
        <v>616</v>
      </c>
      <c r="I515" s="49" t="s">
        <v>110</v>
      </c>
      <c r="J515" s="76">
        <v>-39.6</v>
      </c>
      <c r="K515" s="83" t="str">
        <f>IFERROR(IFERROR(VLOOKUP(I515,'DE-PARA'!B:D,3,0),VLOOKUP(I515,'DE-PARA'!C:D,2,0)),"NÃO ENCONTRADO")</f>
        <v>Serviços</v>
      </c>
      <c r="L515" s="50" t="str">
        <f>VLOOKUP(K515,'Base -Receita-Despesa'!$B:$P,1,FALSE)</f>
        <v>Serviços</v>
      </c>
    </row>
    <row r="516" spans="1:12" ht="15" customHeight="1" x14ac:dyDescent="0.3">
      <c r="A516" s="82" t="str">
        <f t="shared" ref="A516:A579" si="16">IF(K516="NÃO ENCONTRADO",0,RIGHT(D516,4))</f>
        <v>2016</v>
      </c>
      <c r="B516" s="72" t="s">
        <v>131</v>
      </c>
      <c r="C516" s="73" t="s">
        <v>132</v>
      </c>
      <c r="D516" s="74" t="str">
        <f t="shared" ref="D516:D579" si="17">TEXT(E516,"mmm/aaaa")</f>
        <v>mar/2016</v>
      </c>
      <c r="E516" s="53">
        <v>42446</v>
      </c>
      <c r="F516" s="75" t="s">
        <v>174</v>
      </c>
      <c r="G516" s="72"/>
      <c r="H516" s="49" t="s">
        <v>617</v>
      </c>
      <c r="I516" s="49" t="s">
        <v>173</v>
      </c>
      <c r="J516" s="76">
        <v>-193</v>
      </c>
      <c r="K516" s="83" t="str">
        <f>IFERROR(IFERROR(VLOOKUP(I516,'DE-PARA'!B:D,3,0),VLOOKUP(I516,'DE-PARA'!C:D,2,0)),"NÃO ENCONTRADO")</f>
        <v>Serviços</v>
      </c>
      <c r="L516" s="50" t="str">
        <f>VLOOKUP(K516,'Base -Receita-Despesa'!$B:$P,1,FALSE)</f>
        <v>Serviços</v>
      </c>
    </row>
    <row r="517" spans="1:12" ht="15" customHeight="1" x14ac:dyDescent="0.3">
      <c r="A517" s="82" t="str">
        <f t="shared" si="16"/>
        <v>2016</v>
      </c>
      <c r="B517" s="72" t="s">
        <v>131</v>
      </c>
      <c r="C517" s="73" t="s">
        <v>132</v>
      </c>
      <c r="D517" s="74" t="str">
        <f t="shared" si="17"/>
        <v>mar/2016</v>
      </c>
      <c r="E517" s="53">
        <v>42446</v>
      </c>
      <c r="F517" s="75" t="s">
        <v>174</v>
      </c>
      <c r="G517" s="72"/>
      <c r="H517" s="49" t="s">
        <v>618</v>
      </c>
      <c r="I517" s="49" t="s">
        <v>173</v>
      </c>
      <c r="J517" s="76">
        <v>-141.86000000000001</v>
      </c>
      <c r="K517" s="83" t="str">
        <f>IFERROR(IFERROR(VLOOKUP(I517,'DE-PARA'!B:D,3,0),VLOOKUP(I517,'DE-PARA'!C:D,2,0)),"NÃO ENCONTRADO")</f>
        <v>Serviços</v>
      </c>
      <c r="L517" s="50" t="str">
        <f>VLOOKUP(K517,'Base -Receita-Despesa'!$B:$P,1,FALSE)</f>
        <v>Serviços</v>
      </c>
    </row>
    <row r="518" spans="1:12" ht="15" customHeight="1" x14ac:dyDescent="0.3">
      <c r="A518" s="82" t="str">
        <f t="shared" si="16"/>
        <v>2016</v>
      </c>
      <c r="B518" s="72" t="s">
        <v>131</v>
      </c>
      <c r="C518" s="73" t="s">
        <v>132</v>
      </c>
      <c r="D518" s="74" t="str">
        <f t="shared" si="17"/>
        <v>mar/2016</v>
      </c>
      <c r="E518" s="53">
        <v>42446</v>
      </c>
      <c r="F518" s="75" t="s">
        <v>164</v>
      </c>
      <c r="G518" s="72"/>
      <c r="H518" s="49" t="s">
        <v>619</v>
      </c>
      <c r="I518" s="49" t="s">
        <v>113</v>
      </c>
      <c r="J518" s="76">
        <v>-3993.39</v>
      </c>
      <c r="K518" s="83" t="str">
        <f>IFERROR(IFERROR(VLOOKUP(I518,'DE-PARA'!B:D,3,0),VLOOKUP(I518,'DE-PARA'!C:D,2,0)),"NÃO ENCONTRADO")</f>
        <v>Serviços</v>
      </c>
      <c r="L518" s="50" t="str">
        <f>VLOOKUP(K518,'Base -Receita-Despesa'!$B:$P,1,FALSE)</f>
        <v>Serviços</v>
      </c>
    </row>
    <row r="519" spans="1:12" ht="15" customHeight="1" x14ac:dyDescent="0.3">
      <c r="A519" s="82" t="str">
        <f t="shared" si="16"/>
        <v>2016</v>
      </c>
      <c r="B519" s="72" t="s">
        <v>131</v>
      </c>
      <c r="C519" s="73" t="s">
        <v>132</v>
      </c>
      <c r="D519" s="74" t="str">
        <f t="shared" si="17"/>
        <v>mar/2016</v>
      </c>
      <c r="E519" s="53">
        <v>42446</v>
      </c>
      <c r="F519" s="75" t="s">
        <v>164</v>
      </c>
      <c r="G519" s="72"/>
      <c r="H519" s="49" t="s">
        <v>620</v>
      </c>
      <c r="I519" s="49" t="s">
        <v>173</v>
      </c>
      <c r="J519" s="76">
        <v>-776.72</v>
      </c>
      <c r="K519" s="83" t="str">
        <f>IFERROR(IFERROR(VLOOKUP(I519,'DE-PARA'!B:D,3,0),VLOOKUP(I519,'DE-PARA'!C:D,2,0)),"NÃO ENCONTRADO")</f>
        <v>Serviços</v>
      </c>
      <c r="L519" s="50" t="str">
        <f>VLOOKUP(K519,'Base -Receita-Despesa'!$B:$P,1,FALSE)</f>
        <v>Serviços</v>
      </c>
    </row>
    <row r="520" spans="1:12" ht="15" customHeight="1" x14ac:dyDescent="0.3">
      <c r="A520" s="82" t="str">
        <f t="shared" si="16"/>
        <v>2016</v>
      </c>
      <c r="B520" s="72" t="s">
        <v>131</v>
      </c>
      <c r="C520" s="73" t="s">
        <v>132</v>
      </c>
      <c r="D520" s="74" t="str">
        <f t="shared" si="17"/>
        <v>mar/2016</v>
      </c>
      <c r="E520" s="53">
        <v>42446</v>
      </c>
      <c r="F520" s="75" t="s">
        <v>164</v>
      </c>
      <c r="G520" s="72"/>
      <c r="H520" s="49" t="s">
        <v>621</v>
      </c>
      <c r="I520" s="49" t="s">
        <v>173</v>
      </c>
      <c r="J520" s="76">
        <v>-429.37</v>
      </c>
      <c r="K520" s="83" t="str">
        <f>IFERROR(IFERROR(VLOOKUP(I520,'DE-PARA'!B:D,3,0),VLOOKUP(I520,'DE-PARA'!C:D,2,0)),"NÃO ENCONTRADO")</f>
        <v>Serviços</v>
      </c>
      <c r="L520" s="50" t="str">
        <f>VLOOKUP(K520,'Base -Receita-Despesa'!$B:$P,1,FALSE)</f>
        <v>Serviços</v>
      </c>
    </row>
    <row r="521" spans="1:12" ht="15" customHeight="1" x14ac:dyDescent="0.3">
      <c r="A521" s="82" t="str">
        <f t="shared" si="16"/>
        <v>2016</v>
      </c>
      <c r="B521" s="72" t="s">
        <v>131</v>
      </c>
      <c r="C521" s="73" t="s">
        <v>132</v>
      </c>
      <c r="D521" s="74" t="str">
        <f t="shared" si="17"/>
        <v>mar/2016</v>
      </c>
      <c r="E521" s="53">
        <v>42446</v>
      </c>
      <c r="F521" s="75" t="s">
        <v>164</v>
      </c>
      <c r="G521" s="72"/>
      <c r="H521" s="49" t="s">
        <v>555</v>
      </c>
      <c r="I521" s="49" t="s">
        <v>168</v>
      </c>
      <c r="J521" s="76">
        <v>-61.58</v>
      </c>
      <c r="K521" s="83" t="str">
        <f>IFERROR(IFERROR(VLOOKUP(I521,'DE-PARA'!B:D,3,0),VLOOKUP(I521,'DE-PARA'!C:D,2,0)),"NÃO ENCONTRADO")</f>
        <v>Pessoal</v>
      </c>
      <c r="L521" s="50" t="str">
        <f>VLOOKUP(K521,'Base -Receita-Despesa'!$B:$P,1,FALSE)</f>
        <v>Pessoal</v>
      </c>
    </row>
    <row r="522" spans="1:12" ht="15" customHeight="1" x14ac:dyDescent="0.3">
      <c r="A522" s="82" t="str">
        <f t="shared" si="16"/>
        <v>2016</v>
      </c>
      <c r="B522" s="72" t="s">
        <v>131</v>
      </c>
      <c r="C522" s="73" t="s">
        <v>132</v>
      </c>
      <c r="D522" s="74" t="str">
        <f t="shared" si="17"/>
        <v>mar/2016</v>
      </c>
      <c r="E522" s="53">
        <v>42446</v>
      </c>
      <c r="F522" s="75" t="s">
        <v>622</v>
      </c>
      <c r="G522" s="72"/>
      <c r="H522" s="49" t="s">
        <v>205</v>
      </c>
      <c r="I522" s="49" t="s">
        <v>206</v>
      </c>
      <c r="J522" s="76">
        <v>-3000</v>
      </c>
      <c r="K522" s="83" t="str">
        <f>IFERROR(IFERROR(VLOOKUP(I522,'DE-PARA'!B:D,3,0),VLOOKUP(I522,'DE-PARA'!C:D,2,0)),"NÃO ENCONTRADO")</f>
        <v>Serviços</v>
      </c>
      <c r="L522" s="50" t="str">
        <f>VLOOKUP(K522,'Base -Receita-Despesa'!$B:$P,1,FALSE)</f>
        <v>Serviços</v>
      </c>
    </row>
    <row r="523" spans="1:12" ht="15" customHeight="1" x14ac:dyDescent="0.3">
      <c r="A523" s="82" t="str">
        <f t="shared" si="16"/>
        <v>2016</v>
      </c>
      <c r="B523" s="72" t="s">
        <v>131</v>
      </c>
      <c r="C523" s="73" t="s">
        <v>132</v>
      </c>
      <c r="D523" s="74" t="str">
        <f t="shared" si="17"/>
        <v>mar/2016</v>
      </c>
      <c r="E523" s="53">
        <v>42446</v>
      </c>
      <c r="F523" s="75" t="s">
        <v>164</v>
      </c>
      <c r="G523" s="72"/>
      <c r="H523" s="49" t="s">
        <v>390</v>
      </c>
      <c r="I523" s="49" t="s">
        <v>168</v>
      </c>
      <c r="J523" s="76">
        <v>-12.12</v>
      </c>
      <c r="K523" s="83" t="str">
        <f>IFERROR(IFERROR(VLOOKUP(I523,'DE-PARA'!B:D,3,0),VLOOKUP(I523,'DE-PARA'!C:D,2,0)),"NÃO ENCONTRADO")</f>
        <v>Pessoal</v>
      </c>
      <c r="L523" s="50" t="str">
        <f>VLOOKUP(K523,'Base -Receita-Despesa'!$B:$P,1,FALSE)</f>
        <v>Pessoal</v>
      </c>
    </row>
    <row r="524" spans="1:12" ht="15" customHeight="1" x14ac:dyDescent="0.3">
      <c r="A524" s="82" t="str">
        <f t="shared" si="16"/>
        <v>2016</v>
      </c>
      <c r="B524" s="72" t="s">
        <v>131</v>
      </c>
      <c r="C524" s="73" t="s">
        <v>132</v>
      </c>
      <c r="D524" s="74" t="str">
        <f t="shared" si="17"/>
        <v>mar/2016</v>
      </c>
      <c r="E524" s="53">
        <v>42446</v>
      </c>
      <c r="F524" s="75" t="s">
        <v>164</v>
      </c>
      <c r="G524" s="72"/>
      <c r="H524" s="49" t="s">
        <v>399</v>
      </c>
      <c r="I524" s="49" t="s">
        <v>168</v>
      </c>
      <c r="J524" s="76">
        <v>-147.03</v>
      </c>
      <c r="K524" s="83" t="str">
        <f>IFERROR(IFERROR(VLOOKUP(I524,'DE-PARA'!B:D,3,0),VLOOKUP(I524,'DE-PARA'!C:D,2,0)),"NÃO ENCONTRADO")</f>
        <v>Pessoal</v>
      </c>
      <c r="L524" s="50" t="str">
        <f>VLOOKUP(K524,'Base -Receita-Despesa'!$B:$P,1,FALSE)</f>
        <v>Pessoal</v>
      </c>
    </row>
    <row r="525" spans="1:12" ht="15" customHeight="1" x14ac:dyDescent="0.3">
      <c r="A525" s="82" t="str">
        <f t="shared" si="16"/>
        <v>2016</v>
      </c>
      <c r="B525" s="72" t="s">
        <v>131</v>
      </c>
      <c r="C525" s="73" t="s">
        <v>132</v>
      </c>
      <c r="D525" s="74" t="str">
        <f t="shared" si="17"/>
        <v>mar/2016</v>
      </c>
      <c r="E525" s="53">
        <v>42446</v>
      </c>
      <c r="F525" s="75" t="s">
        <v>545</v>
      </c>
      <c r="G525" s="72"/>
      <c r="H525" s="49" t="s">
        <v>209</v>
      </c>
      <c r="I525" s="49" t="s">
        <v>210</v>
      </c>
      <c r="J525" s="76">
        <v>-1750</v>
      </c>
      <c r="K525" s="83" t="str">
        <f>IFERROR(IFERROR(VLOOKUP(I525,'DE-PARA'!B:D,3,0),VLOOKUP(I525,'DE-PARA'!C:D,2,0)),"NÃO ENCONTRADO")</f>
        <v>Investimentos</v>
      </c>
      <c r="L525" s="50" t="str">
        <f>VLOOKUP(K525,'Base -Receita-Despesa'!$B:$P,1,FALSE)</f>
        <v>Investimentos</v>
      </c>
    </row>
    <row r="526" spans="1:12" ht="15" customHeight="1" x14ac:dyDescent="0.3">
      <c r="A526" s="82" t="str">
        <f t="shared" si="16"/>
        <v>2016</v>
      </c>
      <c r="B526" s="72" t="s">
        <v>131</v>
      </c>
      <c r="C526" s="73" t="s">
        <v>132</v>
      </c>
      <c r="D526" s="74" t="str">
        <f t="shared" si="17"/>
        <v>mar/2016</v>
      </c>
      <c r="E526" s="53">
        <v>42446</v>
      </c>
      <c r="F526" s="75" t="s">
        <v>600</v>
      </c>
      <c r="G526" s="72"/>
      <c r="H526" s="49" t="s">
        <v>211</v>
      </c>
      <c r="I526" s="49" t="s">
        <v>157</v>
      </c>
      <c r="J526" s="76">
        <v>-7000</v>
      </c>
      <c r="K526" s="83" t="str">
        <f>IFERROR(IFERROR(VLOOKUP(I526,'DE-PARA'!B:D,3,0),VLOOKUP(I526,'DE-PARA'!C:D,2,0)),"NÃO ENCONTRADO")</f>
        <v>Concessionárias (água, luz e telefone)</v>
      </c>
      <c r="L526" s="50" t="str">
        <f>VLOOKUP(K526,'Base -Receita-Despesa'!$B:$P,1,FALSE)</f>
        <v>Concessionárias (água, luz e telefone)</v>
      </c>
    </row>
    <row r="527" spans="1:12" ht="15" customHeight="1" x14ac:dyDescent="0.3">
      <c r="A527" s="82" t="str">
        <f t="shared" si="16"/>
        <v>2016</v>
      </c>
      <c r="B527" s="72" t="s">
        <v>131</v>
      </c>
      <c r="C527" s="73" t="s">
        <v>132</v>
      </c>
      <c r="D527" s="74" t="str">
        <f t="shared" si="17"/>
        <v>mar/2016</v>
      </c>
      <c r="E527" s="53">
        <v>42446</v>
      </c>
      <c r="F527" s="75" t="s">
        <v>174</v>
      </c>
      <c r="G527" s="72"/>
      <c r="H527" s="49" t="s">
        <v>623</v>
      </c>
      <c r="I527" s="49" t="s">
        <v>138</v>
      </c>
      <c r="J527" s="76">
        <v>-320.85000000000002</v>
      </c>
      <c r="K527" s="83" t="str">
        <f>IFERROR(IFERROR(VLOOKUP(I527,'DE-PARA'!B:D,3,0),VLOOKUP(I527,'DE-PARA'!C:D,2,0)),"NÃO ENCONTRADO")</f>
        <v>Serviços</v>
      </c>
      <c r="L527" s="50" t="str">
        <f>VLOOKUP(K527,'Base -Receita-Despesa'!$B:$P,1,FALSE)</f>
        <v>Serviços</v>
      </c>
    </row>
    <row r="528" spans="1:12" ht="15" customHeight="1" x14ac:dyDescent="0.3">
      <c r="A528" s="82" t="str">
        <f t="shared" si="16"/>
        <v>2016</v>
      </c>
      <c r="B528" s="72" t="s">
        <v>131</v>
      </c>
      <c r="C528" s="73" t="s">
        <v>132</v>
      </c>
      <c r="D528" s="74" t="str">
        <f t="shared" si="17"/>
        <v>mar/2016</v>
      </c>
      <c r="E528" s="53">
        <v>42446</v>
      </c>
      <c r="F528" s="75" t="s">
        <v>174</v>
      </c>
      <c r="G528" s="72"/>
      <c r="H528" s="49" t="s">
        <v>624</v>
      </c>
      <c r="I528" s="49" t="s">
        <v>113</v>
      </c>
      <c r="J528" s="76">
        <v>-4626.75</v>
      </c>
      <c r="K528" s="83" t="str">
        <f>IFERROR(IFERROR(VLOOKUP(I528,'DE-PARA'!B:D,3,0),VLOOKUP(I528,'DE-PARA'!C:D,2,0)),"NÃO ENCONTRADO")</f>
        <v>Serviços</v>
      </c>
      <c r="L528" s="50" t="str">
        <f>VLOOKUP(K528,'Base -Receita-Despesa'!$B:$P,1,FALSE)</f>
        <v>Serviços</v>
      </c>
    </row>
    <row r="529" spans="1:12" ht="15" customHeight="1" x14ac:dyDescent="0.3">
      <c r="A529" s="82" t="str">
        <f t="shared" si="16"/>
        <v>2016</v>
      </c>
      <c r="B529" s="72" t="s">
        <v>131</v>
      </c>
      <c r="C529" s="73" t="s">
        <v>132</v>
      </c>
      <c r="D529" s="74" t="str">
        <f t="shared" si="17"/>
        <v>mar/2016</v>
      </c>
      <c r="E529" s="53">
        <v>42446</v>
      </c>
      <c r="F529" s="75" t="s">
        <v>174</v>
      </c>
      <c r="G529" s="72"/>
      <c r="H529" s="49" t="s">
        <v>625</v>
      </c>
      <c r="I529" s="49" t="s">
        <v>113</v>
      </c>
      <c r="J529" s="76">
        <v>-720.37</v>
      </c>
      <c r="K529" s="83" t="str">
        <f>IFERROR(IFERROR(VLOOKUP(I529,'DE-PARA'!B:D,3,0),VLOOKUP(I529,'DE-PARA'!C:D,2,0)),"NÃO ENCONTRADO")</f>
        <v>Serviços</v>
      </c>
      <c r="L529" s="50" t="str">
        <f>VLOOKUP(K529,'Base -Receita-Despesa'!$B:$P,1,FALSE)</f>
        <v>Serviços</v>
      </c>
    </row>
    <row r="530" spans="1:12" ht="15" customHeight="1" x14ac:dyDescent="0.3">
      <c r="A530" s="82" t="str">
        <f t="shared" si="16"/>
        <v>2016</v>
      </c>
      <c r="B530" s="72" t="s">
        <v>131</v>
      </c>
      <c r="C530" s="73" t="s">
        <v>132</v>
      </c>
      <c r="D530" s="74" t="str">
        <f t="shared" si="17"/>
        <v>mar/2016</v>
      </c>
      <c r="E530" s="53">
        <v>42446</v>
      </c>
      <c r="F530" s="75" t="s">
        <v>174</v>
      </c>
      <c r="G530" s="72"/>
      <c r="H530" s="49" t="s">
        <v>626</v>
      </c>
      <c r="I530" s="49" t="s">
        <v>113</v>
      </c>
      <c r="J530" s="76">
        <v>-128.34</v>
      </c>
      <c r="K530" s="83" t="str">
        <f>IFERROR(IFERROR(VLOOKUP(I530,'DE-PARA'!B:D,3,0),VLOOKUP(I530,'DE-PARA'!C:D,2,0)),"NÃO ENCONTRADO")</f>
        <v>Serviços</v>
      </c>
      <c r="L530" s="50" t="str">
        <f>VLOOKUP(K530,'Base -Receita-Despesa'!$B:$P,1,FALSE)</f>
        <v>Serviços</v>
      </c>
    </row>
    <row r="531" spans="1:12" ht="15" customHeight="1" x14ac:dyDescent="0.3">
      <c r="A531" s="82" t="str">
        <f t="shared" si="16"/>
        <v>2016</v>
      </c>
      <c r="B531" s="72" t="s">
        <v>131</v>
      </c>
      <c r="C531" s="73" t="s">
        <v>132</v>
      </c>
      <c r="D531" s="74" t="str">
        <f t="shared" si="17"/>
        <v>mar/2016</v>
      </c>
      <c r="E531" s="53">
        <v>42446</v>
      </c>
      <c r="F531" s="75" t="s">
        <v>174</v>
      </c>
      <c r="G531" s="72"/>
      <c r="H531" s="49" t="s">
        <v>627</v>
      </c>
      <c r="I531" s="49" t="s">
        <v>138</v>
      </c>
      <c r="J531" s="76">
        <v>-19.329999999999998</v>
      </c>
      <c r="K531" s="83" t="str">
        <f>IFERROR(IFERROR(VLOOKUP(I531,'DE-PARA'!B:D,3,0),VLOOKUP(I531,'DE-PARA'!C:D,2,0)),"NÃO ENCONTRADO")</f>
        <v>Serviços</v>
      </c>
      <c r="L531" s="50" t="str">
        <f>VLOOKUP(K531,'Base -Receita-Despesa'!$B:$P,1,FALSE)</f>
        <v>Serviços</v>
      </c>
    </row>
    <row r="532" spans="1:12" ht="15" customHeight="1" x14ac:dyDescent="0.3">
      <c r="A532" s="82" t="str">
        <f t="shared" si="16"/>
        <v>2016</v>
      </c>
      <c r="B532" s="72" t="s">
        <v>131</v>
      </c>
      <c r="C532" s="73" t="s">
        <v>132</v>
      </c>
      <c r="D532" s="74" t="str">
        <f t="shared" si="17"/>
        <v>mar/2016</v>
      </c>
      <c r="E532" s="53">
        <v>42446</v>
      </c>
      <c r="F532" s="75" t="s">
        <v>174</v>
      </c>
      <c r="G532" s="72"/>
      <c r="H532" s="49" t="s">
        <v>628</v>
      </c>
      <c r="I532" s="49" t="s">
        <v>138</v>
      </c>
      <c r="J532" s="76">
        <v>-19.329999999999998</v>
      </c>
      <c r="K532" s="83" t="str">
        <f>IFERROR(IFERROR(VLOOKUP(I532,'DE-PARA'!B:D,3,0),VLOOKUP(I532,'DE-PARA'!C:D,2,0)),"NÃO ENCONTRADO")</f>
        <v>Serviços</v>
      </c>
      <c r="L532" s="50" t="str">
        <f>VLOOKUP(K532,'Base -Receita-Despesa'!$B:$P,1,FALSE)</f>
        <v>Serviços</v>
      </c>
    </row>
    <row r="533" spans="1:12" ht="15" customHeight="1" x14ac:dyDescent="0.3">
      <c r="A533" s="82" t="str">
        <f t="shared" si="16"/>
        <v>2016</v>
      </c>
      <c r="B533" s="72" t="s">
        <v>131</v>
      </c>
      <c r="C533" s="73" t="s">
        <v>132</v>
      </c>
      <c r="D533" s="74" t="str">
        <f t="shared" si="17"/>
        <v>mar/2016</v>
      </c>
      <c r="E533" s="53">
        <v>42446</v>
      </c>
      <c r="F533" s="75" t="s">
        <v>174</v>
      </c>
      <c r="G533" s="72"/>
      <c r="H533" s="49" t="s">
        <v>629</v>
      </c>
      <c r="I533" s="49" t="s">
        <v>173</v>
      </c>
      <c r="J533" s="76">
        <v>-897.45</v>
      </c>
      <c r="K533" s="83" t="str">
        <f>IFERROR(IFERROR(VLOOKUP(I533,'DE-PARA'!B:D,3,0),VLOOKUP(I533,'DE-PARA'!C:D,2,0)),"NÃO ENCONTRADO")</f>
        <v>Serviços</v>
      </c>
      <c r="L533" s="50" t="str">
        <f>VLOOKUP(K533,'Base -Receita-Despesa'!$B:$P,1,FALSE)</f>
        <v>Serviços</v>
      </c>
    </row>
    <row r="534" spans="1:12" ht="15" customHeight="1" x14ac:dyDescent="0.3">
      <c r="A534" s="82" t="str">
        <f t="shared" si="16"/>
        <v>2016</v>
      </c>
      <c r="B534" s="72" t="s">
        <v>131</v>
      </c>
      <c r="C534" s="73" t="s">
        <v>132</v>
      </c>
      <c r="D534" s="74" t="str">
        <f t="shared" si="17"/>
        <v>mar/2016</v>
      </c>
      <c r="E534" s="53">
        <v>42446</v>
      </c>
      <c r="F534" s="75" t="s">
        <v>174</v>
      </c>
      <c r="G534" s="72"/>
      <c r="H534" s="49" t="s">
        <v>630</v>
      </c>
      <c r="I534" s="49" t="s">
        <v>173</v>
      </c>
      <c r="J534" s="76">
        <v>-659.65</v>
      </c>
      <c r="K534" s="83" t="str">
        <f>IFERROR(IFERROR(VLOOKUP(I534,'DE-PARA'!B:D,3,0),VLOOKUP(I534,'DE-PARA'!C:D,2,0)),"NÃO ENCONTRADO")</f>
        <v>Serviços</v>
      </c>
      <c r="L534" s="50" t="str">
        <f>VLOOKUP(K534,'Base -Receita-Despesa'!$B:$P,1,FALSE)</f>
        <v>Serviços</v>
      </c>
    </row>
    <row r="535" spans="1:12" ht="15" customHeight="1" x14ac:dyDescent="0.3">
      <c r="A535" s="82" t="str">
        <f t="shared" si="16"/>
        <v>2016</v>
      </c>
      <c r="B535" s="72" t="s">
        <v>131</v>
      </c>
      <c r="C535" s="73" t="s">
        <v>132</v>
      </c>
      <c r="D535" s="74" t="str">
        <f t="shared" si="17"/>
        <v>mar/2016</v>
      </c>
      <c r="E535" s="53">
        <v>42446</v>
      </c>
      <c r="F535" s="75" t="s">
        <v>174</v>
      </c>
      <c r="G535" s="72"/>
      <c r="H535" s="49" t="s">
        <v>631</v>
      </c>
      <c r="I535" s="49" t="s">
        <v>191</v>
      </c>
      <c r="J535" s="76">
        <v>-158.1</v>
      </c>
      <c r="K535" s="83" t="str">
        <f>IFERROR(IFERROR(VLOOKUP(I535,'DE-PARA'!B:D,3,0),VLOOKUP(I535,'DE-PARA'!C:D,2,0)),"NÃO ENCONTRADO")</f>
        <v>Serviços</v>
      </c>
      <c r="L535" s="50" t="str">
        <f>VLOOKUP(K535,'Base -Receita-Despesa'!$B:$P,1,FALSE)</f>
        <v>Serviços</v>
      </c>
    </row>
    <row r="536" spans="1:12" ht="15" customHeight="1" x14ac:dyDescent="0.3">
      <c r="A536" s="82" t="str">
        <f t="shared" si="16"/>
        <v>2016</v>
      </c>
      <c r="B536" s="72" t="s">
        <v>131</v>
      </c>
      <c r="C536" s="73" t="s">
        <v>132</v>
      </c>
      <c r="D536" s="74" t="str">
        <f t="shared" si="17"/>
        <v>mar/2016</v>
      </c>
      <c r="E536" s="53">
        <v>42446</v>
      </c>
      <c r="F536" s="75" t="s">
        <v>174</v>
      </c>
      <c r="G536" s="72"/>
      <c r="H536" s="49" t="s">
        <v>632</v>
      </c>
      <c r="I536" s="49" t="s">
        <v>112</v>
      </c>
      <c r="J536" s="76">
        <v>-5950.19</v>
      </c>
      <c r="K536" s="83" t="str">
        <f>IFERROR(IFERROR(VLOOKUP(I536,'DE-PARA'!B:D,3,0),VLOOKUP(I536,'DE-PARA'!C:D,2,0)),"NÃO ENCONTRADO")</f>
        <v>Serviços</v>
      </c>
      <c r="L536" s="50" t="str">
        <f>VLOOKUP(K536,'Base -Receita-Despesa'!$B:$P,1,FALSE)</f>
        <v>Serviços</v>
      </c>
    </row>
    <row r="537" spans="1:12" ht="15" customHeight="1" x14ac:dyDescent="0.3">
      <c r="A537" s="82" t="str">
        <f t="shared" si="16"/>
        <v>2016</v>
      </c>
      <c r="B537" s="72" t="s">
        <v>131</v>
      </c>
      <c r="C537" s="73" t="s">
        <v>132</v>
      </c>
      <c r="D537" s="74" t="str">
        <f t="shared" si="17"/>
        <v>mar/2016</v>
      </c>
      <c r="E537" s="53">
        <v>42446</v>
      </c>
      <c r="F537" s="75" t="s">
        <v>174</v>
      </c>
      <c r="G537" s="72"/>
      <c r="H537" s="49" t="s">
        <v>633</v>
      </c>
      <c r="I537" s="49" t="s">
        <v>110</v>
      </c>
      <c r="J537" s="76">
        <v>-61.17</v>
      </c>
      <c r="K537" s="83" t="str">
        <f>IFERROR(IFERROR(VLOOKUP(I537,'DE-PARA'!B:D,3,0),VLOOKUP(I537,'DE-PARA'!C:D,2,0)),"NÃO ENCONTRADO")</f>
        <v>Serviços</v>
      </c>
      <c r="L537" s="50" t="str">
        <f>VLOOKUP(K537,'Base -Receita-Despesa'!$B:$P,1,FALSE)</f>
        <v>Serviços</v>
      </c>
    </row>
    <row r="538" spans="1:12" ht="15" customHeight="1" x14ac:dyDescent="0.3">
      <c r="A538" s="82" t="str">
        <f t="shared" si="16"/>
        <v>2016</v>
      </c>
      <c r="B538" s="72" t="s">
        <v>131</v>
      </c>
      <c r="C538" s="73" t="s">
        <v>132</v>
      </c>
      <c r="D538" s="74" t="str">
        <f t="shared" si="17"/>
        <v>mar/2016</v>
      </c>
      <c r="E538" s="53">
        <v>42446</v>
      </c>
      <c r="F538" s="75" t="s">
        <v>174</v>
      </c>
      <c r="G538" s="72"/>
      <c r="H538" s="49" t="s">
        <v>634</v>
      </c>
      <c r="I538" s="49" t="s">
        <v>110</v>
      </c>
      <c r="J538" s="76">
        <v>-49.99</v>
      </c>
      <c r="K538" s="83" t="str">
        <f>IFERROR(IFERROR(VLOOKUP(I538,'DE-PARA'!B:D,3,0),VLOOKUP(I538,'DE-PARA'!C:D,2,0)),"NÃO ENCONTRADO")</f>
        <v>Serviços</v>
      </c>
      <c r="L538" s="50" t="str">
        <f>VLOOKUP(K538,'Base -Receita-Despesa'!$B:$P,1,FALSE)</f>
        <v>Serviços</v>
      </c>
    </row>
    <row r="539" spans="1:12" ht="15" customHeight="1" x14ac:dyDescent="0.3">
      <c r="A539" s="82" t="str">
        <f t="shared" si="16"/>
        <v>2016</v>
      </c>
      <c r="B539" s="72" t="s">
        <v>131</v>
      </c>
      <c r="C539" s="73" t="s">
        <v>132</v>
      </c>
      <c r="D539" s="74" t="str">
        <f t="shared" si="17"/>
        <v>mar/2016</v>
      </c>
      <c r="E539" s="53">
        <v>42446</v>
      </c>
      <c r="F539" s="75" t="s">
        <v>635</v>
      </c>
      <c r="G539" s="72"/>
      <c r="H539" s="49" t="s">
        <v>225</v>
      </c>
      <c r="I539" s="49" t="s">
        <v>110</v>
      </c>
      <c r="J539" s="76">
        <v>-11265</v>
      </c>
      <c r="K539" s="83" t="str">
        <f>IFERROR(IFERROR(VLOOKUP(I539,'DE-PARA'!B:D,3,0),VLOOKUP(I539,'DE-PARA'!C:D,2,0)),"NÃO ENCONTRADO")</f>
        <v>Serviços</v>
      </c>
      <c r="L539" s="50" t="str">
        <f>VLOOKUP(K539,'Base -Receita-Despesa'!$B:$P,1,FALSE)</f>
        <v>Serviços</v>
      </c>
    </row>
    <row r="540" spans="1:12" ht="15" customHeight="1" x14ac:dyDescent="0.3">
      <c r="A540" s="82" t="str">
        <f t="shared" si="16"/>
        <v>2016</v>
      </c>
      <c r="B540" s="72" t="s">
        <v>131</v>
      </c>
      <c r="C540" s="73" t="s">
        <v>132</v>
      </c>
      <c r="D540" s="74" t="str">
        <f t="shared" si="17"/>
        <v>mar/2016</v>
      </c>
      <c r="E540" s="53">
        <v>42446</v>
      </c>
      <c r="F540" s="75" t="s">
        <v>636</v>
      </c>
      <c r="G540" s="72"/>
      <c r="H540" s="49" t="s">
        <v>225</v>
      </c>
      <c r="I540" s="49" t="s">
        <v>110</v>
      </c>
      <c r="J540" s="76">
        <v>-1400</v>
      </c>
      <c r="K540" s="83" t="str">
        <f>IFERROR(IFERROR(VLOOKUP(I540,'DE-PARA'!B:D,3,0),VLOOKUP(I540,'DE-PARA'!C:D,2,0)),"NÃO ENCONTRADO")</f>
        <v>Serviços</v>
      </c>
      <c r="L540" s="50" t="str">
        <f>VLOOKUP(K540,'Base -Receita-Despesa'!$B:$P,1,FALSE)</f>
        <v>Serviços</v>
      </c>
    </row>
    <row r="541" spans="1:12" ht="15" customHeight="1" x14ac:dyDescent="0.3">
      <c r="A541" s="82" t="str">
        <f t="shared" si="16"/>
        <v>2016</v>
      </c>
      <c r="B541" s="72" t="s">
        <v>131</v>
      </c>
      <c r="C541" s="73" t="s">
        <v>132</v>
      </c>
      <c r="D541" s="74" t="str">
        <f t="shared" si="17"/>
        <v>mar/2016</v>
      </c>
      <c r="E541" s="53">
        <v>42446</v>
      </c>
      <c r="F541" s="75" t="s">
        <v>637</v>
      </c>
      <c r="G541" s="72"/>
      <c r="H541" s="49" t="s">
        <v>212</v>
      </c>
      <c r="I541" s="49" t="s">
        <v>138</v>
      </c>
      <c r="J541" s="76">
        <v>-4707.62</v>
      </c>
      <c r="K541" s="83" t="str">
        <f>IFERROR(IFERROR(VLOOKUP(I541,'DE-PARA'!B:D,3,0),VLOOKUP(I541,'DE-PARA'!C:D,2,0)),"NÃO ENCONTRADO")</f>
        <v>Serviços</v>
      </c>
      <c r="L541" s="50" t="str">
        <f>VLOOKUP(K541,'Base -Receita-Despesa'!$B:$P,1,FALSE)</f>
        <v>Serviços</v>
      </c>
    </row>
    <row r="542" spans="1:12" ht="15" customHeight="1" x14ac:dyDescent="0.3">
      <c r="A542" s="82" t="str">
        <f t="shared" si="16"/>
        <v>2016</v>
      </c>
      <c r="B542" s="72" t="s">
        <v>131</v>
      </c>
      <c r="C542" s="73" t="s">
        <v>132</v>
      </c>
      <c r="D542" s="74" t="str">
        <f t="shared" si="17"/>
        <v>mar/2016</v>
      </c>
      <c r="E542" s="53">
        <v>42446</v>
      </c>
      <c r="F542" s="75" t="s">
        <v>638</v>
      </c>
      <c r="G542" s="72"/>
      <c r="H542" s="49" t="s">
        <v>588</v>
      </c>
      <c r="I542" s="49" t="s">
        <v>159</v>
      </c>
      <c r="J542" s="76">
        <v>-776.74</v>
      </c>
      <c r="K542" s="83" t="str">
        <f>IFERROR(IFERROR(VLOOKUP(I542,'DE-PARA'!B:D,3,0),VLOOKUP(I542,'DE-PARA'!C:D,2,0)),"NÃO ENCONTRADO")</f>
        <v>Materiais</v>
      </c>
      <c r="L542" s="50" t="str">
        <f>VLOOKUP(K542,'Base -Receita-Despesa'!$B:$P,1,FALSE)</f>
        <v>Materiais</v>
      </c>
    </row>
    <row r="543" spans="1:12" ht="15" customHeight="1" x14ac:dyDescent="0.3">
      <c r="A543" s="82" t="str">
        <f t="shared" si="16"/>
        <v>2016</v>
      </c>
      <c r="B543" s="72" t="s">
        <v>131</v>
      </c>
      <c r="C543" s="73" t="s">
        <v>132</v>
      </c>
      <c r="D543" s="74" t="str">
        <f t="shared" si="17"/>
        <v>mar/2016</v>
      </c>
      <c r="E543" s="53">
        <v>42446</v>
      </c>
      <c r="F543" s="75" t="s">
        <v>639</v>
      </c>
      <c r="G543" s="72"/>
      <c r="H543" s="49" t="s">
        <v>215</v>
      </c>
      <c r="I543" s="49" t="s">
        <v>167</v>
      </c>
      <c r="J543" s="76">
        <v>-295.39999999999998</v>
      </c>
      <c r="K543" s="83" t="str">
        <f>IFERROR(IFERROR(VLOOKUP(I543,'DE-PARA'!B:D,3,0),VLOOKUP(I543,'DE-PARA'!C:D,2,0)),"NÃO ENCONTRADO")</f>
        <v>Materiais</v>
      </c>
      <c r="L543" s="50" t="str">
        <f>VLOOKUP(K543,'Base -Receita-Despesa'!$B:$P,1,FALSE)</f>
        <v>Materiais</v>
      </c>
    </row>
    <row r="544" spans="1:12" ht="15" customHeight="1" x14ac:dyDescent="0.3">
      <c r="A544" s="82" t="str">
        <f t="shared" si="16"/>
        <v>2016</v>
      </c>
      <c r="B544" s="72" t="s">
        <v>131</v>
      </c>
      <c r="C544" s="73" t="s">
        <v>132</v>
      </c>
      <c r="D544" s="74" t="str">
        <f t="shared" si="17"/>
        <v>mar/2016</v>
      </c>
      <c r="E544" s="53">
        <v>42446</v>
      </c>
      <c r="F544" s="75" t="s">
        <v>640</v>
      </c>
      <c r="G544" s="72"/>
      <c r="H544" s="49" t="s">
        <v>215</v>
      </c>
      <c r="I544" s="49" t="s">
        <v>167</v>
      </c>
      <c r="J544" s="76">
        <v>-227.88</v>
      </c>
      <c r="K544" s="83" t="str">
        <f>IFERROR(IFERROR(VLOOKUP(I544,'DE-PARA'!B:D,3,0),VLOOKUP(I544,'DE-PARA'!C:D,2,0)),"NÃO ENCONTRADO")</f>
        <v>Materiais</v>
      </c>
      <c r="L544" s="50" t="str">
        <f>VLOOKUP(K544,'Base -Receita-Despesa'!$B:$P,1,FALSE)</f>
        <v>Materiais</v>
      </c>
    </row>
    <row r="545" spans="1:12" ht="15" customHeight="1" x14ac:dyDescent="0.3">
      <c r="A545" s="82" t="str">
        <f t="shared" si="16"/>
        <v>2016</v>
      </c>
      <c r="B545" s="72" t="s">
        <v>131</v>
      </c>
      <c r="C545" s="73" t="s">
        <v>132</v>
      </c>
      <c r="D545" s="74" t="str">
        <f t="shared" si="17"/>
        <v>mar/2016</v>
      </c>
      <c r="E545" s="53">
        <v>42446</v>
      </c>
      <c r="F545" s="75" t="s">
        <v>641</v>
      </c>
      <c r="G545" s="72"/>
      <c r="H545" s="49" t="s">
        <v>215</v>
      </c>
      <c r="I545" s="49" t="s">
        <v>167</v>
      </c>
      <c r="J545" s="76">
        <v>-767.9</v>
      </c>
      <c r="K545" s="83" t="str">
        <f>IFERROR(IFERROR(VLOOKUP(I545,'DE-PARA'!B:D,3,0),VLOOKUP(I545,'DE-PARA'!C:D,2,0)),"NÃO ENCONTRADO")</f>
        <v>Materiais</v>
      </c>
      <c r="L545" s="50" t="str">
        <f>VLOOKUP(K545,'Base -Receita-Despesa'!$B:$P,1,FALSE)</f>
        <v>Materiais</v>
      </c>
    </row>
    <row r="546" spans="1:12" ht="15" customHeight="1" x14ac:dyDescent="0.3">
      <c r="A546" s="82" t="str">
        <f t="shared" si="16"/>
        <v>2016</v>
      </c>
      <c r="B546" s="72" t="s">
        <v>131</v>
      </c>
      <c r="C546" s="73" t="s">
        <v>132</v>
      </c>
      <c r="D546" s="74" t="str">
        <f t="shared" si="17"/>
        <v>mar/2016</v>
      </c>
      <c r="E546" s="53">
        <v>42446</v>
      </c>
      <c r="F546" s="75" t="s">
        <v>642</v>
      </c>
      <c r="G546" s="72"/>
      <c r="H546" s="49" t="s">
        <v>172</v>
      </c>
      <c r="I546" s="49" t="s">
        <v>173</v>
      </c>
      <c r="J546" s="76">
        <v>-12956.27</v>
      </c>
      <c r="K546" s="83" t="str">
        <f>IFERROR(IFERROR(VLOOKUP(I546,'DE-PARA'!B:D,3,0),VLOOKUP(I546,'DE-PARA'!C:D,2,0)),"NÃO ENCONTRADO")</f>
        <v>Serviços</v>
      </c>
      <c r="L546" s="50" t="str">
        <f>VLOOKUP(K546,'Base -Receita-Despesa'!$B:$P,1,FALSE)</f>
        <v>Serviços</v>
      </c>
    </row>
    <row r="547" spans="1:12" ht="15" customHeight="1" x14ac:dyDescent="0.3">
      <c r="A547" s="82" t="str">
        <f t="shared" si="16"/>
        <v>2016</v>
      </c>
      <c r="B547" s="72" t="s">
        <v>131</v>
      </c>
      <c r="C547" s="73" t="s">
        <v>132</v>
      </c>
      <c r="D547" s="74" t="str">
        <f t="shared" si="17"/>
        <v>mar/2016</v>
      </c>
      <c r="E547" s="53">
        <v>42446</v>
      </c>
      <c r="F547" s="75" t="s">
        <v>643</v>
      </c>
      <c r="G547" s="72"/>
      <c r="H547" s="49" t="s">
        <v>172</v>
      </c>
      <c r="I547" s="49" t="s">
        <v>173</v>
      </c>
      <c r="J547" s="76">
        <v>-15311.91</v>
      </c>
      <c r="K547" s="83" t="str">
        <f>IFERROR(IFERROR(VLOOKUP(I547,'DE-PARA'!B:D,3,0),VLOOKUP(I547,'DE-PARA'!C:D,2,0)),"NÃO ENCONTRADO")</f>
        <v>Serviços</v>
      </c>
      <c r="L547" s="50" t="str">
        <f>VLOOKUP(K547,'Base -Receita-Despesa'!$B:$P,1,FALSE)</f>
        <v>Serviços</v>
      </c>
    </row>
    <row r="548" spans="1:12" ht="15" customHeight="1" x14ac:dyDescent="0.3">
      <c r="A548" s="82" t="str">
        <f t="shared" si="16"/>
        <v>2016</v>
      </c>
      <c r="B548" s="72" t="s">
        <v>131</v>
      </c>
      <c r="C548" s="73" t="s">
        <v>132</v>
      </c>
      <c r="D548" s="74" t="str">
        <f t="shared" si="17"/>
        <v>mar/2016</v>
      </c>
      <c r="E548" s="53">
        <v>42447</v>
      </c>
      <c r="F548" s="75" t="s">
        <v>644</v>
      </c>
      <c r="G548" s="72"/>
      <c r="H548" s="49" t="s">
        <v>368</v>
      </c>
      <c r="I548" s="49" t="s">
        <v>159</v>
      </c>
      <c r="J548" s="76">
        <v>-1320.32</v>
      </c>
      <c r="K548" s="83" t="str">
        <f>IFERROR(IFERROR(VLOOKUP(I548,'DE-PARA'!B:D,3,0),VLOOKUP(I548,'DE-PARA'!C:D,2,0)),"NÃO ENCONTRADO")</f>
        <v>Materiais</v>
      </c>
      <c r="L548" s="50" t="str">
        <f>VLOOKUP(K548,'Base -Receita-Despesa'!$B:$P,1,FALSE)</f>
        <v>Materiais</v>
      </c>
    </row>
    <row r="549" spans="1:12" ht="15" customHeight="1" x14ac:dyDescent="0.3">
      <c r="A549" s="82" t="str">
        <f t="shared" si="16"/>
        <v>2016</v>
      </c>
      <c r="B549" s="72" t="s">
        <v>131</v>
      </c>
      <c r="C549" s="73" t="s">
        <v>132</v>
      </c>
      <c r="D549" s="74" t="str">
        <f t="shared" si="17"/>
        <v>mar/2016</v>
      </c>
      <c r="E549" s="53">
        <v>42447</v>
      </c>
      <c r="F549" s="75" t="s">
        <v>645</v>
      </c>
      <c r="G549" s="72"/>
      <c r="H549" s="49" t="s">
        <v>161</v>
      </c>
      <c r="I549" s="49" t="s">
        <v>159</v>
      </c>
      <c r="J549" s="76">
        <v>-1371.54</v>
      </c>
      <c r="K549" s="83" t="str">
        <f>IFERROR(IFERROR(VLOOKUP(I549,'DE-PARA'!B:D,3,0),VLOOKUP(I549,'DE-PARA'!C:D,2,0)),"NÃO ENCONTRADO")</f>
        <v>Materiais</v>
      </c>
      <c r="L549" s="50" t="str">
        <f>VLOOKUP(K549,'Base -Receita-Despesa'!$B:$P,1,FALSE)</f>
        <v>Materiais</v>
      </c>
    </row>
    <row r="550" spans="1:12" ht="15" customHeight="1" x14ac:dyDescent="0.3">
      <c r="A550" s="82" t="str">
        <f t="shared" si="16"/>
        <v>2016</v>
      </c>
      <c r="B550" s="72" t="s">
        <v>131</v>
      </c>
      <c r="C550" s="73" t="s">
        <v>132</v>
      </c>
      <c r="D550" s="74" t="str">
        <f t="shared" si="17"/>
        <v>mar/2016</v>
      </c>
      <c r="E550" s="53">
        <v>42447</v>
      </c>
      <c r="F550" s="75" t="s">
        <v>646</v>
      </c>
      <c r="G550" s="72"/>
      <c r="H550" s="49" t="s">
        <v>161</v>
      </c>
      <c r="I550" s="49" t="s">
        <v>159</v>
      </c>
      <c r="J550" s="76">
        <v>-1651.4</v>
      </c>
      <c r="K550" s="83" t="str">
        <f>IFERROR(IFERROR(VLOOKUP(I550,'DE-PARA'!B:D,3,0),VLOOKUP(I550,'DE-PARA'!C:D,2,0)),"NÃO ENCONTRADO")</f>
        <v>Materiais</v>
      </c>
      <c r="L550" s="50" t="str">
        <f>VLOOKUP(K550,'Base -Receita-Despesa'!$B:$P,1,FALSE)</f>
        <v>Materiais</v>
      </c>
    </row>
    <row r="551" spans="1:12" ht="15" customHeight="1" x14ac:dyDescent="0.3">
      <c r="A551" s="82" t="str">
        <f t="shared" si="16"/>
        <v>2016</v>
      </c>
      <c r="B551" s="72" t="s">
        <v>131</v>
      </c>
      <c r="C551" s="73" t="s">
        <v>132</v>
      </c>
      <c r="D551" s="74" t="str">
        <f t="shared" si="17"/>
        <v>mar/2016</v>
      </c>
      <c r="E551" s="53">
        <v>42447</v>
      </c>
      <c r="F551" s="75" t="s">
        <v>647</v>
      </c>
      <c r="G551" s="72"/>
      <c r="H551" s="49" t="s">
        <v>213</v>
      </c>
      <c r="I551" s="49" t="s">
        <v>159</v>
      </c>
      <c r="J551" s="76">
        <v>-2003.14</v>
      </c>
      <c r="K551" s="83" t="str">
        <f>IFERROR(IFERROR(VLOOKUP(I551,'DE-PARA'!B:D,3,0),VLOOKUP(I551,'DE-PARA'!C:D,2,0)),"NÃO ENCONTRADO")</f>
        <v>Materiais</v>
      </c>
      <c r="L551" s="50" t="str">
        <f>VLOOKUP(K551,'Base -Receita-Despesa'!$B:$P,1,FALSE)</f>
        <v>Materiais</v>
      </c>
    </row>
    <row r="552" spans="1:12" ht="15" customHeight="1" x14ac:dyDescent="0.3">
      <c r="A552" s="82" t="str">
        <f t="shared" si="16"/>
        <v>2016</v>
      </c>
      <c r="B552" s="72" t="s">
        <v>131</v>
      </c>
      <c r="C552" s="73" t="s">
        <v>132</v>
      </c>
      <c r="D552" s="74" t="str">
        <f t="shared" si="17"/>
        <v>mar/2016</v>
      </c>
      <c r="E552" s="53">
        <v>42447</v>
      </c>
      <c r="F552" s="75" t="s">
        <v>445</v>
      </c>
      <c r="G552" s="72"/>
      <c r="H552" s="49" t="s">
        <v>213</v>
      </c>
      <c r="I552" s="49" t="s">
        <v>159</v>
      </c>
      <c r="J552" s="76">
        <v>-5602.66</v>
      </c>
      <c r="K552" s="83" t="str">
        <f>IFERROR(IFERROR(VLOOKUP(I552,'DE-PARA'!B:D,3,0),VLOOKUP(I552,'DE-PARA'!C:D,2,0)),"NÃO ENCONTRADO")</f>
        <v>Materiais</v>
      </c>
      <c r="L552" s="50" t="str">
        <f>VLOOKUP(K552,'Base -Receita-Despesa'!$B:$P,1,FALSE)</f>
        <v>Materiais</v>
      </c>
    </row>
    <row r="553" spans="1:12" ht="15" customHeight="1" x14ac:dyDescent="0.3">
      <c r="A553" s="82" t="str">
        <f t="shared" si="16"/>
        <v>2016</v>
      </c>
      <c r="B553" s="72" t="s">
        <v>131</v>
      </c>
      <c r="C553" s="73" t="s">
        <v>132</v>
      </c>
      <c r="D553" s="74" t="str">
        <f t="shared" si="17"/>
        <v>mar/2016</v>
      </c>
      <c r="E553" s="53">
        <v>42447</v>
      </c>
      <c r="F553" s="75" t="s">
        <v>561</v>
      </c>
      <c r="G553" s="72"/>
      <c r="H553" s="49" t="s">
        <v>170</v>
      </c>
      <c r="I553" s="49" t="s">
        <v>171</v>
      </c>
      <c r="J553" s="76">
        <v>-18564.87</v>
      </c>
      <c r="K553" s="83" t="str">
        <f>IFERROR(IFERROR(VLOOKUP(I553,'DE-PARA'!B:D,3,0),VLOOKUP(I553,'DE-PARA'!C:D,2,0)),"NÃO ENCONTRADO")</f>
        <v>Serviços</v>
      </c>
      <c r="L553" s="50" t="str">
        <f>VLOOKUP(K553,'Base -Receita-Despesa'!$B:$P,1,FALSE)</f>
        <v>Serviços</v>
      </c>
    </row>
    <row r="554" spans="1:12" ht="15" customHeight="1" x14ac:dyDescent="0.3">
      <c r="A554" s="82" t="str">
        <f t="shared" si="16"/>
        <v>2016</v>
      </c>
      <c r="B554" s="72" t="s">
        <v>131</v>
      </c>
      <c r="C554" s="73" t="s">
        <v>132</v>
      </c>
      <c r="D554" s="74" t="str">
        <f t="shared" si="17"/>
        <v>mar/2016</v>
      </c>
      <c r="E554" s="53">
        <v>42450</v>
      </c>
      <c r="F554" s="75" t="s">
        <v>154</v>
      </c>
      <c r="G554" s="72"/>
      <c r="H554" s="49" t="s">
        <v>552</v>
      </c>
      <c r="I554" s="49" t="s">
        <v>1497</v>
      </c>
      <c r="J554" s="76">
        <v>217097.27</v>
      </c>
      <c r="K554" s="83" t="str">
        <f>IFERROR(IFERROR(VLOOKUP(I554,'DE-PARA'!B:D,3,0),VLOOKUP(I554,'DE-PARA'!C:D,2,0)),"NÃO ENCONTRADO")</f>
        <v>Repasses Contrato de Gestão</v>
      </c>
      <c r="L554" s="50" t="str">
        <f>VLOOKUP(K554,'Base -Receita-Despesa'!$B:$P,1,FALSE)</f>
        <v>Repasses Contrato de Gestão</v>
      </c>
    </row>
    <row r="555" spans="1:12" ht="15" customHeight="1" x14ac:dyDescent="0.3">
      <c r="A555" s="82" t="str">
        <f t="shared" si="16"/>
        <v>2016</v>
      </c>
      <c r="B555" s="72" t="s">
        <v>131</v>
      </c>
      <c r="C555" s="73" t="s">
        <v>132</v>
      </c>
      <c r="D555" s="74" t="str">
        <f t="shared" si="17"/>
        <v>mar/2016</v>
      </c>
      <c r="E555" s="53">
        <v>42450</v>
      </c>
      <c r="F555" s="75" t="s">
        <v>648</v>
      </c>
      <c r="G555" s="72"/>
      <c r="H555" s="49" t="s">
        <v>161</v>
      </c>
      <c r="I555" s="49" t="s">
        <v>159</v>
      </c>
      <c r="J555" s="76">
        <v>-245</v>
      </c>
      <c r="K555" s="83" t="str">
        <f>IFERROR(IFERROR(VLOOKUP(I555,'DE-PARA'!B:D,3,0),VLOOKUP(I555,'DE-PARA'!C:D,2,0)),"NÃO ENCONTRADO")</f>
        <v>Materiais</v>
      </c>
      <c r="L555" s="50" t="str">
        <f>VLOOKUP(K555,'Base -Receita-Despesa'!$B:$P,1,FALSE)</f>
        <v>Materiais</v>
      </c>
    </row>
    <row r="556" spans="1:12" ht="15" customHeight="1" x14ac:dyDescent="0.3">
      <c r="A556" s="82" t="str">
        <f t="shared" si="16"/>
        <v>2016</v>
      </c>
      <c r="B556" s="72" t="s">
        <v>131</v>
      </c>
      <c r="C556" s="73" t="s">
        <v>132</v>
      </c>
      <c r="D556" s="74" t="str">
        <f t="shared" si="17"/>
        <v>mar/2016</v>
      </c>
      <c r="E556" s="53">
        <v>42450</v>
      </c>
      <c r="F556" s="75" t="s">
        <v>649</v>
      </c>
      <c r="G556" s="72"/>
      <c r="H556" s="49" t="s">
        <v>161</v>
      </c>
      <c r="I556" s="49" t="s">
        <v>159</v>
      </c>
      <c r="J556" s="76">
        <v>-159.66</v>
      </c>
      <c r="K556" s="83" t="str">
        <f>IFERROR(IFERROR(VLOOKUP(I556,'DE-PARA'!B:D,3,0),VLOOKUP(I556,'DE-PARA'!C:D,2,0)),"NÃO ENCONTRADO")</f>
        <v>Materiais</v>
      </c>
      <c r="L556" s="50" t="str">
        <f>VLOOKUP(K556,'Base -Receita-Despesa'!$B:$P,1,FALSE)</f>
        <v>Materiais</v>
      </c>
    </row>
    <row r="557" spans="1:12" ht="15" customHeight="1" x14ac:dyDescent="0.3">
      <c r="A557" s="82" t="str">
        <f t="shared" si="16"/>
        <v>2016</v>
      </c>
      <c r="B557" s="72" t="s">
        <v>131</v>
      </c>
      <c r="C557" s="73" t="s">
        <v>132</v>
      </c>
      <c r="D557" s="74" t="str">
        <f t="shared" si="17"/>
        <v>mar/2016</v>
      </c>
      <c r="E557" s="53">
        <v>42450</v>
      </c>
      <c r="F557" s="75" t="s">
        <v>650</v>
      </c>
      <c r="G557" s="72"/>
      <c r="H557" s="49" t="s">
        <v>161</v>
      </c>
      <c r="I557" s="49" t="s">
        <v>159</v>
      </c>
      <c r="J557" s="76">
        <v>-292</v>
      </c>
      <c r="K557" s="83" t="str">
        <f>IFERROR(IFERROR(VLOOKUP(I557,'DE-PARA'!B:D,3,0),VLOOKUP(I557,'DE-PARA'!C:D,2,0)),"NÃO ENCONTRADO")</f>
        <v>Materiais</v>
      </c>
      <c r="L557" s="50" t="str">
        <f>VLOOKUP(K557,'Base -Receita-Despesa'!$B:$P,1,FALSE)</f>
        <v>Materiais</v>
      </c>
    </row>
    <row r="558" spans="1:12" ht="15" customHeight="1" x14ac:dyDescent="0.3">
      <c r="A558" s="82" t="str">
        <f t="shared" si="16"/>
        <v>2016</v>
      </c>
      <c r="B558" s="72" t="s">
        <v>131</v>
      </c>
      <c r="C558" s="73" t="s">
        <v>132</v>
      </c>
      <c r="D558" s="74" t="str">
        <f t="shared" si="17"/>
        <v>mar/2016</v>
      </c>
      <c r="E558" s="53">
        <v>42450</v>
      </c>
      <c r="F558" s="75" t="s">
        <v>651</v>
      </c>
      <c r="G558" s="72"/>
      <c r="H558" s="49" t="s">
        <v>161</v>
      </c>
      <c r="I558" s="49" t="s">
        <v>159</v>
      </c>
      <c r="J558" s="76">
        <v>-975.12</v>
      </c>
      <c r="K558" s="83" t="str">
        <f>IFERROR(IFERROR(VLOOKUP(I558,'DE-PARA'!B:D,3,0),VLOOKUP(I558,'DE-PARA'!C:D,2,0)),"NÃO ENCONTRADO")</f>
        <v>Materiais</v>
      </c>
      <c r="L558" s="50" t="str">
        <f>VLOOKUP(K558,'Base -Receita-Despesa'!$B:$P,1,FALSE)</f>
        <v>Materiais</v>
      </c>
    </row>
    <row r="559" spans="1:12" ht="15" customHeight="1" x14ac:dyDescent="0.3">
      <c r="A559" s="82" t="str">
        <f t="shared" si="16"/>
        <v>2016</v>
      </c>
      <c r="B559" s="72" t="s">
        <v>131</v>
      </c>
      <c r="C559" s="73" t="s">
        <v>132</v>
      </c>
      <c r="D559" s="74" t="str">
        <f t="shared" si="17"/>
        <v>mar/2016</v>
      </c>
      <c r="E559" s="53">
        <v>42450</v>
      </c>
      <c r="F559" s="75" t="s">
        <v>652</v>
      </c>
      <c r="G559" s="72"/>
      <c r="H559" s="49" t="s">
        <v>161</v>
      </c>
      <c r="I559" s="49" t="s">
        <v>159</v>
      </c>
      <c r="J559" s="76">
        <v>-588.05999999999995</v>
      </c>
      <c r="K559" s="83" t="str">
        <f>IFERROR(IFERROR(VLOOKUP(I559,'DE-PARA'!B:D,3,0),VLOOKUP(I559,'DE-PARA'!C:D,2,0)),"NÃO ENCONTRADO")</f>
        <v>Materiais</v>
      </c>
      <c r="L559" s="50" t="str">
        <f>VLOOKUP(K559,'Base -Receita-Despesa'!$B:$P,1,FALSE)</f>
        <v>Materiais</v>
      </c>
    </row>
    <row r="560" spans="1:12" ht="15" customHeight="1" x14ac:dyDescent="0.3">
      <c r="A560" s="82" t="str">
        <f t="shared" si="16"/>
        <v>2016</v>
      </c>
      <c r="B560" s="72" t="s">
        <v>131</v>
      </c>
      <c r="C560" s="73" t="s">
        <v>132</v>
      </c>
      <c r="D560" s="74" t="str">
        <f t="shared" si="17"/>
        <v>mar/2016</v>
      </c>
      <c r="E560" s="53">
        <v>42450</v>
      </c>
      <c r="F560" s="75" t="s">
        <v>421</v>
      </c>
      <c r="G560" s="72"/>
      <c r="H560" s="49" t="s">
        <v>161</v>
      </c>
      <c r="I560" s="49" t="s">
        <v>159</v>
      </c>
      <c r="J560" s="76">
        <v>-309.41000000000003</v>
      </c>
      <c r="K560" s="83" t="str">
        <f>IFERROR(IFERROR(VLOOKUP(I560,'DE-PARA'!B:D,3,0),VLOOKUP(I560,'DE-PARA'!C:D,2,0)),"NÃO ENCONTRADO")</f>
        <v>Materiais</v>
      </c>
      <c r="L560" s="50" t="str">
        <f>VLOOKUP(K560,'Base -Receita-Despesa'!$B:$P,1,FALSE)</f>
        <v>Materiais</v>
      </c>
    </row>
    <row r="561" spans="1:12" ht="15" customHeight="1" x14ac:dyDescent="0.3">
      <c r="A561" s="82" t="str">
        <f t="shared" si="16"/>
        <v>2016</v>
      </c>
      <c r="B561" s="72" t="s">
        <v>131</v>
      </c>
      <c r="C561" s="73" t="s">
        <v>132</v>
      </c>
      <c r="D561" s="74" t="str">
        <f t="shared" si="17"/>
        <v>mar/2016</v>
      </c>
      <c r="E561" s="53">
        <v>42450</v>
      </c>
      <c r="F561" s="75" t="s">
        <v>136</v>
      </c>
      <c r="G561" s="72"/>
      <c r="H561" s="49" t="s">
        <v>653</v>
      </c>
      <c r="I561" s="49" t="s">
        <v>129</v>
      </c>
      <c r="J561" s="76">
        <v>-7.85</v>
      </c>
      <c r="K561" s="83" t="str">
        <f>IFERROR(IFERROR(VLOOKUP(I561,'DE-PARA'!B:D,3,0),VLOOKUP(I561,'DE-PARA'!C:D,2,0)),"NÃO ENCONTRADO")</f>
        <v>Outras Saídas</v>
      </c>
      <c r="L561" s="50" t="str">
        <f>VLOOKUP(K561,'Base -Receita-Despesa'!$B:$P,1,FALSE)</f>
        <v>Outras Saídas</v>
      </c>
    </row>
    <row r="562" spans="1:12" ht="15" customHeight="1" x14ac:dyDescent="0.3">
      <c r="A562" s="82" t="str">
        <f t="shared" si="16"/>
        <v>2016</v>
      </c>
      <c r="B562" s="72" t="s">
        <v>131</v>
      </c>
      <c r="C562" s="73" t="s">
        <v>132</v>
      </c>
      <c r="D562" s="74" t="str">
        <f t="shared" si="17"/>
        <v>mar/2016</v>
      </c>
      <c r="E562" s="53">
        <v>42450</v>
      </c>
      <c r="F562" s="75" t="s">
        <v>136</v>
      </c>
      <c r="G562" s="72"/>
      <c r="H562" s="49" t="s">
        <v>653</v>
      </c>
      <c r="I562" s="49" t="s">
        <v>129</v>
      </c>
      <c r="J562" s="76">
        <v>-7.85</v>
      </c>
      <c r="K562" s="83" t="str">
        <f>IFERROR(IFERROR(VLOOKUP(I562,'DE-PARA'!B:D,3,0),VLOOKUP(I562,'DE-PARA'!C:D,2,0)),"NÃO ENCONTRADO")</f>
        <v>Outras Saídas</v>
      </c>
      <c r="L562" s="50" t="str">
        <f>VLOOKUP(K562,'Base -Receita-Despesa'!$B:$P,1,FALSE)</f>
        <v>Outras Saídas</v>
      </c>
    </row>
    <row r="563" spans="1:12" ht="15" customHeight="1" x14ac:dyDescent="0.3">
      <c r="A563" s="82" t="str">
        <f t="shared" si="16"/>
        <v>2016</v>
      </c>
      <c r="B563" s="72" t="s">
        <v>131</v>
      </c>
      <c r="C563" s="73" t="s">
        <v>132</v>
      </c>
      <c r="D563" s="74" t="str">
        <f t="shared" si="17"/>
        <v>mar/2016</v>
      </c>
      <c r="E563" s="53">
        <v>42450</v>
      </c>
      <c r="F563" s="75" t="s">
        <v>136</v>
      </c>
      <c r="G563" s="72"/>
      <c r="H563" s="49" t="s">
        <v>653</v>
      </c>
      <c r="I563" s="49" t="s">
        <v>129</v>
      </c>
      <c r="J563" s="76">
        <v>-7.85</v>
      </c>
      <c r="K563" s="83" t="str">
        <f>IFERROR(IFERROR(VLOOKUP(I563,'DE-PARA'!B:D,3,0),VLOOKUP(I563,'DE-PARA'!C:D,2,0)),"NÃO ENCONTRADO")</f>
        <v>Outras Saídas</v>
      </c>
      <c r="L563" s="50" t="str">
        <f>VLOOKUP(K563,'Base -Receita-Despesa'!$B:$P,1,FALSE)</f>
        <v>Outras Saídas</v>
      </c>
    </row>
    <row r="564" spans="1:12" ht="15" customHeight="1" x14ac:dyDescent="0.3">
      <c r="A564" s="82" t="str">
        <f t="shared" si="16"/>
        <v>2016</v>
      </c>
      <c r="B564" s="72" t="s">
        <v>131</v>
      </c>
      <c r="C564" s="73" t="s">
        <v>132</v>
      </c>
      <c r="D564" s="74" t="str">
        <f t="shared" si="17"/>
        <v>mar/2016</v>
      </c>
      <c r="E564" s="53">
        <v>42450</v>
      </c>
      <c r="F564" s="75" t="s">
        <v>136</v>
      </c>
      <c r="G564" s="72"/>
      <c r="H564" s="49" t="s">
        <v>653</v>
      </c>
      <c r="I564" s="49" t="s">
        <v>129</v>
      </c>
      <c r="J564" s="76">
        <v>-7.85</v>
      </c>
      <c r="K564" s="83" t="str">
        <f>IFERROR(IFERROR(VLOOKUP(I564,'DE-PARA'!B:D,3,0),VLOOKUP(I564,'DE-PARA'!C:D,2,0)),"NÃO ENCONTRADO")</f>
        <v>Outras Saídas</v>
      </c>
      <c r="L564" s="50" t="str">
        <f>VLOOKUP(K564,'Base -Receita-Despesa'!$B:$P,1,FALSE)</f>
        <v>Outras Saídas</v>
      </c>
    </row>
    <row r="565" spans="1:12" ht="15" customHeight="1" x14ac:dyDescent="0.3">
      <c r="A565" s="82" t="str">
        <f t="shared" si="16"/>
        <v>2016</v>
      </c>
      <c r="B565" s="72" t="s">
        <v>131</v>
      </c>
      <c r="C565" s="73" t="s">
        <v>132</v>
      </c>
      <c r="D565" s="74" t="str">
        <f t="shared" si="17"/>
        <v>mar/2016</v>
      </c>
      <c r="E565" s="53">
        <v>42450</v>
      </c>
      <c r="F565" s="75" t="s">
        <v>136</v>
      </c>
      <c r="G565" s="72"/>
      <c r="H565" s="49" t="s">
        <v>653</v>
      </c>
      <c r="I565" s="49" t="s">
        <v>129</v>
      </c>
      <c r="J565" s="76">
        <v>-7.85</v>
      </c>
      <c r="K565" s="83" t="str">
        <f>IFERROR(IFERROR(VLOOKUP(I565,'DE-PARA'!B:D,3,0),VLOOKUP(I565,'DE-PARA'!C:D,2,0)),"NÃO ENCONTRADO")</f>
        <v>Outras Saídas</v>
      </c>
      <c r="L565" s="50" t="str">
        <f>VLOOKUP(K565,'Base -Receita-Despesa'!$B:$P,1,FALSE)</f>
        <v>Outras Saídas</v>
      </c>
    </row>
    <row r="566" spans="1:12" ht="15" customHeight="1" x14ac:dyDescent="0.3">
      <c r="A566" s="82" t="str">
        <f t="shared" si="16"/>
        <v>2016</v>
      </c>
      <c r="B566" s="72" t="s">
        <v>131</v>
      </c>
      <c r="C566" s="73" t="s">
        <v>132</v>
      </c>
      <c r="D566" s="74" t="str">
        <f t="shared" si="17"/>
        <v>mar/2016</v>
      </c>
      <c r="E566" s="53">
        <v>42450</v>
      </c>
      <c r="F566" s="75" t="s">
        <v>136</v>
      </c>
      <c r="G566" s="72"/>
      <c r="H566" s="49" t="s">
        <v>653</v>
      </c>
      <c r="I566" s="49" t="s">
        <v>129</v>
      </c>
      <c r="J566" s="76">
        <v>-7.85</v>
      </c>
      <c r="K566" s="83" t="str">
        <f>IFERROR(IFERROR(VLOOKUP(I566,'DE-PARA'!B:D,3,0),VLOOKUP(I566,'DE-PARA'!C:D,2,0)),"NÃO ENCONTRADO")</f>
        <v>Outras Saídas</v>
      </c>
      <c r="L566" s="50" t="str">
        <f>VLOOKUP(K566,'Base -Receita-Despesa'!$B:$P,1,FALSE)</f>
        <v>Outras Saídas</v>
      </c>
    </row>
    <row r="567" spans="1:12" ht="15" customHeight="1" x14ac:dyDescent="0.3">
      <c r="A567" s="82" t="str">
        <f t="shared" si="16"/>
        <v>2016</v>
      </c>
      <c r="B567" s="72" t="s">
        <v>131</v>
      </c>
      <c r="C567" s="73" t="s">
        <v>132</v>
      </c>
      <c r="D567" s="74" t="str">
        <f t="shared" si="17"/>
        <v>mar/2016</v>
      </c>
      <c r="E567" s="53">
        <v>42450</v>
      </c>
      <c r="F567" s="75" t="s">
        <v>136</v>
      </c>
      <c r="G567" s="72"/>
      <c r="H567" s="49" t="s">
        <v>653</v>
      </c>
      <c r="I567" s="49" t="s">
        <v>129</v>
      </c>
      <c r="J567" s="76">
        <v>-7.85</v>
      </c>
      <c r="K567" s="83" t="str">
        <f>IFERROR(IFERROR(VLOOKUP(I567,'DE-PARA'!B:D,3,0),VLOOKUP(I567,'DE-PARA'!C:D,2,0)),"NÃO ENCONTRADO")</f>
        <v>Outras Saídas</v>
      </c>
      <c r="L567" s="50" t="str">
        <f>VLOOKUP(K567,'Base -Receita-Despesa'!$B:$P,1,FALSE)</f>
        <v>Outras Saídas</v>
      </c>
    </row>
    <row r="568" spans="1:12" ht="15" customHeight="1" x14ac:dyDescent="0.3">
      <c r="A568" s="82" t="str">
        <f t="shared" si="16"/>
        <v>2016</v>
      </c>
      <c r="B568" s="72" t="s">
        <v>131</v>
      </c>
      <c r="C568" s="73" t="s">
        <v>132</v>
      </c>
      <c r="D568" s="74" t="str">
        <f t="shared" si="17"/>
        <v>mar/2016</v>
      </c>
      <c r="E568" s="53">
        <v>42450</v>
      </c>
      <c r="F568" s="75" t="s">
        <v>136</v>
      </c>
      <c r="G568" s="72"/>
      <c r="H568" s="49" t="s">
        <v>653</v>
      </c>
      <c r="I568" s="49" t="s">
        <v>129</v>
      </c>
      <c r="J568" s="76">
        <v>-7.85</v>
      </c>
      <c r="K568" s="83" t="str">
        <f>IFERROR(IFERROR(VLOOKUP(I568,'DE-PARA'!B:D,3,0),VLOOKUP(I568,'DE-PARA'!C:D,2,0)),"NÃO ENCONTRADO")</f>
        <v>Outras Saídas</v>
      </c>
      <c r="L568" s="50" t="str">
        <f>VLOOKUP(K568,'Base -Receita-Despesa'!$B:$P,1,FALSE)</f>
        <v>Outras Saídas</v>
      </c>
    </row>
    <row r="569" spans="1:12" ht="15" customHeight="1" x14ac:dyDescent="0.3">
      <c r="A569" s="82" t="str">
        <f t="shared" si="16"/>
        <v>2016</v>
      </c>
      <c r="B569" s="72" t="s">
        <v>131</v>
      </c>
      <c r="C569" s="73" t="s">
        <v>132</v>
      </c>
      <c r="D569" s="74" t="str">
        <f t="shared" si="17"/>
        <v>mar/2016</v>
      </c>
      <c r="E569" s="53">
        <v>42450</v>
      </c>
      <c r="F569" s="75" t="s">
        <v>136</v>
      </c>
      <c r="G569" s="72"/>
      <c r="H569" s="49" t="s">
        <v>653</v>
      </c>
      <c r="I569" s="49" t="s">
        <v>129</v>
      </c>
      <c r="J569" s="76">
        <v>-7.85</v>
      </c>
      <c r="K569" s="83" t="str">
        <f>IFERROR(IFERROR(VLOOKUP(I569,'DE-PARA'!B:D,3,0),VLOOKUP(I569,'DE-PARA'!C:D,2,0)),"NÃO ENCONTRADO")</f>
        <v>Outras Saídas</v>
      </c>
      <c r="L569" s="50" t="str">
        <f>VLOOKUP(K569,'Base -Receita-Despesa'!$B:$P,1,FALSE)</f>
        <v>Outras Saídas</v>
      </c>
    </row>
    <row r="570" spans="1:12" ht="15" customHeight="1" x14ac:dyDescent="0.3">
      <c r="A570" s="82" t="str">
        <f t="shared" si="16"/>
        <v>2016</v>
      </c>
      <c r="B570" s="72" t="s">
        <v>131</v>
      </c>
      <c r="C570" s="73" t="s">
        <v>132</v>
      </c>
      <c r="D570" s="74" t="str">
        <f t="shared" si="17"/>
        <v>mar/2016</v>
      </c>
      <c r="E570" s="53">
        <v>42450</v>
      </c>
      <c r="F570" s="75" t="s">
        <v>136</v>
      </c>
      <c r="G570" s="72"/>
      <c r="H570" s="49" t="s">
        <v>653</v>
      </c>
      <c r="I570" s="49" t="s">
        <v>129</v>
      </c>
      <c r="J570" s="76">
        <v>-7.85</v>
      </c>
      <c r="K570" s="83" t="str">
        <f>IFERROR(IFERROR(VLOOKUP(I570,'DE-PARA'!B:D,3,0),VLOOKUP(I570,'DE-PARA'!C:D,2,0)),"NÃO ENCONTRADO")</f>
        <v>Outras Saídas</v>
      </c>
      <c r="L570" s="50" t="str">
        <f>VLOOKUP(K570,'Base -Receita-Despesa'!$B:$P,1,FALSE)</f>
        <v>Outras Saídas</v>
      </c>
    </row>
    <row r="571" spans="1:12" ht="15" customHeight="1" x14ac:dyDescent="0.3">
      <c r="A571" s="82" t="str">
        <f t="shared" si="16"/>
        <v>2016</v>
      </c>
      <c r="B571" s="72" t="s">
        <v>131</v>
      </c>
      <c r="C571" s="73" t="s">
        <v>132</v>
      </c>
      <c r="D571" s="74" t="str">
        <f t="shared" si="17"/>
        <v>mar/2016</v>
      </c>
      <c r="E571" s="53">
        <v>42450</v>
      </c>
      <c r="F571" s="75" t="s">
        <v>654</v>
      </c>
      <c r="G571" s="72"/>
      <c r="H571" s="49" t="s">
        <v>655</v>
      </c>
      <c r="I571" s="49" t="s">
        <v>167</v>
      </c>
      <c r="J571" s="76">
        <v>-510</v>
      </c>
      <c r="K571" s="83" t="str">
        <f>IFERROR(IFERROR(VLOOKUP(I571,'DE-PARA'!B:D,3,0),VLOOKUP(I571,'DE-PARA'!C:D,2,0)),"NÃO ENCONTRADO")</f>
        <v>Materiais</v>
      </c>
      <c r="L571" s="50" t="str">
        <f>VLOOKUP(K571,'Base -Receita-Despesa'!$B:$P,1,FALSE)</f>
        <v>Materiais</v>
      </c>
    </row>
    <row r="572" spans="1:12" ht="15" customHeight="1" x14ac:dyDescent="0.3">
      <c r="A572" s="82" t="str">
        <f t="shared" si="16"/>
        <v>2016</v>
      </c>
      <c r="B572" s="72" t="s">
        <v>131</v>
      </c>
      <c r="C572" s="73" t="s">
        <v>132</v>
      </c>
      <c r="D572" s="74" t="str">
        <f t="shared" si="17"/>
        <v>mar/2016</v>
      </c>
      <c r="E572" s="53">
        <v>42450</v>
      </c>
      <c r="F572" s="75">
        <v>20</v>
      </c>
      <c r="G572" s="72"/>
      <c r="H572" s="49" t="s">
        <v>656</v>
      </c>
      <c r="I572" s="49" t="s">
        <v>129</v>
      </c>
      <c r="J572" s="76">
        <v>-29.5</v>
      </c>
      <c r="K572" s="83" t="str">
        <f>IFERROR(IFERROR(VLOOKUP(I572,'DE-PARA'!B:D,3,0),VLOOKUP(I572,'DE-PARA'!C:D,2,0)),"NÃO ENCONTRADO")</f>
        <v>Outras Saídas</v>
      </c>
      <c r="L572" s="50" t="str">
        <f>VLOOKUP(K572,'Base -Receita-Despesa'!$B:$P,1,FALSE)</f>
        <v>Outras Saídas</v>
      </c>
    </row>
    <row r="573" spans="1:12" ht="15" customHeight="1" x14ac:dyDescent="0.3">
      <c r="A573" s="82" t="str">
        <f t="shared" si="16"/>
        <v>2016</v>
      </c>
      <c r="B573" s="72" t="s">
        <v>131</v>
      </c>
      <c r="C573" s="73" t="s">
        <v>132</v>
      </c>
      <c r="D573" s="74" t="str">
        <f t="shared" si="17"/>
        <v>mar/2016</v>
      </c>
      <c r="E573" s="53">
        <v>42450</v>
      </c>
      <c r="F573" s="75" t="s">
        <v>657</v>
      </c>
      <c r="G573" s="72"/>
      <c r="H573" s="49" t="s">
        <v>208</v>
      </c>
      <c r="I573" s="49" t="s">
        <v>159</v>
      </c>
      <c r="J573" s="76">
        <v>-250</v>
      </c>
      <c r="K573" s="83" t="str">
        <f>IFERROR(IFERROR(VLOOKUP(I573,'DE-PARA'!B:D,3,0),VLOOKUP(I573,'DE-PARA'!C:D,2,0)),"NÃO ENCONTRADO")</f>
        <v>Materiais</v>
      </c>
      <c r="L573" s="50" t="str">
        <f>VLOOKUP(K573,'Base -Receita-Despesa'!$B:$P,1,FALSE)</f>
        <v>Materiais</v>
      </c>
    </row>
    <row r="574" spans="1:12" ht="15" customHeight="1" x14ac:dyDescent="0.3">
      <c r="A574" s="82" t="str">
        <f t="shared" si="16"/>
        <v>2016</v>
      </c>
      <c r="B574" s="72" t="s">
        <v>131</v>
      </c>
      <c r="C574" s="73" t="s">
        <v>132</v>
      </c>
      <c r="D574" s="74" t="str">
        <f t="shared" si="17"/>
        <v>mar/2016</v>
      </c>
      <c r="E574" s="53">
        <v>42450</v>
      </c>
      <c r="F574" s="75" t="s">
        <v>520</v>
      </c>
      <c r="G574" s="72"/>
      <c r="H574" s="49" t="s">
        <v>558</v>
      </c>
      <c r="I574" s="49" t="s">
        <v>171</v>
      </c>
      <c r="J574" s="76">
        <v>-2600</v>
      </c>
      <c r="K574" s="83" t="str">
        <f>IFERROR(IFERROR(VLOOKUP(I574,'DE-PARA'!B:D,3,0),VLOOKUP(I574,'DE-PARA'!C:D,2,0)),"NÃO ENCONTRADO")</f>
        <v>Serviços</v>
      </c>
      <c r="L574" s="50" t="str">
        <f>VLOOKUP(K574,'Base -Receita-Despesa'!$B:$P,1,FALSE)</f>
        <v>Serviços</v>
      </c>
    </row>
    <row r="575" spans="1:12" ht="15" customHeight="1" x14ac:dyDescent="0.3">
      <c r="A575" s="82" t="str">
        <f t="shared" si="16"/>
        <v>2016</v>
      </c>
      <c r="B575" s="72" t="s">
        <v>131</v>
      </c>
      <c r="C575" s="73" t="s">
        <v>132</v>
      </c>
      <c r="D575" s="74" t="str">
        <f t="shared" si="17"/>
        <v>mar/2016</v>
      </c>
      <c r="E575" s="53">
        <v>42450</v>
      </c>
      <c r="F575" s="75" t="s">
        <v>142</v>
      </c>
      <c r="G575" s="72"/>
      <c r="H575" s="49" t="s">
        <v>143</v>
      </c>
      <c r="I575" s="49" t="s">
        <v>144</v>
      </c>
      <c r="J575" s="76">
        <v>-1300.9000000000001</v>
      </c>
      <c r="K575" s="83" t="str">
        <f>IFERROR(IFERROR(VLOOKUP(I575,'DE-PARA'!B:D,3,0),VLOOKUP(I575,'DE-PARA'!C:D,2,0)),"NÃO ENCONTRADO")</f>
        <v>Concessionárias (água, luz e telefone)</v>
      </c>
      <c r="L575" s="50" t="str">
        <f>VLOOKUP(K575,'Base -Receita-Despesa'!$B:$P,1,FALSE)</f>
        <v>Concessionárias (água, luz e telefone)</v>
      </c>
    </row>
    <row r="576" spans="1:12" ht="15" customHeight="1" x14ac:dyDescent="0.3">
      <c r="A576" s="82" t="str">
        <f t="shared" si="16"/>
        <v>2016</v>
      </c>
      <c r="B576" s="72" t="s">
        <v>131</v>
      </c>
      <c r="C576" s="73" t="s">
        <v>132</v>
      </c>
      <c r="D576" s="74" t="str">
        <f t="shared" si="17"/>
        <v>mar/2016</v>
      </c>
      <c r="E576" s="53">
        <v>42450</v>
      </c>
      <c r="F576" s="75" t="s">
        <v>142</v>
      </c>
      <c r="G576" s="72"/>
      <c r="H576" s="49" t="s">
        <v>143</v>
      </c>
      <c r="I576" s="49" t="s">
        <v>144</v>
      </c>
      <c r="J576" s="76">
        <v>-2485.6</v>
      </c>
      <c r="K576" s="83" t="str">
        <f>IFERROR(IFERROR(VLOOKUP(I576,'DE-PARA'!B:D,3,0),VLOOKUP(I576,'DE-PARA'!C:D,2,0)),"NÃO ENCONTRADO")</f>
        <v>Concessionárias (água, luz e telefone)</v>
      </c>
      <c r="L576" s="50" t="str">
        <f>VLOOKUP(K576,'Base -Receita-Despesa'!$B:$P,1,FALSE)</f>
        <v>Concessionárias (água, luz e telefone)</v>
      </c>
    </row>
    <row r="577" spans="1:12" ht="15" customHeight="1" x14ac:dyDescent="0.3">
      <c r="A577" s="82" t="str">
        <f t="shared" si="16"/>
        <v>2016</v>
      </c>
      <c r="B577" s="72" t="s">
        <v>131</v>
      </c>
      <c r="C577" s="73" t="s">
        <v>132</v>
      </c>
      <c r="D577" s="74" t="str">
        <f t="shared" si="17"/>
        <v>mar/2016</v>
      </c>
      <c r="E577" s="53">
        <v>42450</v>
      </c>
      <c r="F577" s="75" t="s">
        <v>269</v>
      </c>
      <c r="G577" s="72"/>
      <c r="H577" s="49" t="s">
        <v>213</v>
      </c>
      <c r="I577" s="49" t="s">
        <v>159</v>
      </c>
      <c r="J577" s="76">
        <v>-2125.67</v>
      </c>
      <c r="K577" s="83" t="str">
        <f>IFERROR(IFERROR(VLOOKUP(I577,'DE-PARA'!B:D,3,0),VLOOKUP(I577,'DE-PARA'!C:D,2,0)),"NÃO ENCONTRADO")</f>
        <v>Materiais</v>
      </c>
      <c r="L577" s="50" t="str">
        <f>VLOOKUP(K577,'Base -Receita-Despesa'!$B:$P,1,FALSE)</f>
        <v>Materiais</v>
      </c>
    </row>
    <row r="578" spans="1:12" ht="15" customHeight="1" x14ac:dyDescent="0.3">
      <c r="A578" s="82" t="str">
        <f t="shared" si="16"/>
        <v>2016</v>
      </c>
      <c r="B578" s="72" t="s">
        <v>131</v>
      </c>
      <c r="C578" s="73" t="s">
        <v>132</v>
      </c>
      <c r="D578" s="74" t="str">
        <f t="shared" si="17"/>
        <v>mar/2016</v>
      </c>
      <c r="E578" s="53">
        <v>42450</v>
      </c>
      <c r="F578" s="75" t="s">
        <v>658</v>
      </c>
      <c r="G578" s="72"/>
      <c r="H578" s="49" t="s">
        <v>145</v>
      </c>
      <c r="I578" s="49" t="s">
        <v>144</v>
      </c>
      <c r="J578" s="76">
        <v>-1699</v>
      </c>
      <c r="K578" s="83" t="str">
        <f>IFERROR(IFERROR(VLOOKUP(I578,'DE-PARA'!B:D,3,0),VLOOKUP(I578,'DE-PARA'!C:D,2,0)),"NÃO ENCONTRADO")</f>
        <v>Concessionárias (água, luz e telefone)</v>
      </c>
      <c r="L578" s="50" t="str">
        <f>VLOOKUP(K578,'Base -Receita-Despesa'!$B:$P,1,FALSE)</f>
        <v>Concessionárias (água, luz e telefone)</v>
      </c>
    </row>
    <row r="579" spans="1:12" ht="15" customHeight="1" x14ac:dyDescent="0.3">
      <c r="A579" s="82" t="str">
        <f t="shared" si="16"/>
        <v>2016</v>
      </c>
      <c r="B579" s="72" t="s">
        <v>131</v>
      </c>
      <c r="C579" s="73" t="s">
        <v>132</v>
      </c>
      <c r="D579" s="74" t="str">
        <f t="shared" si="17"/>
        <v>mar/2016</v>
      </c>
      <c r="E579" s="53">
        <v>42450</v>
      </c>
      <c r="F579" s="75" t="s">
        <v>659</v>
      </c>
      <c r="G579" s="72"/>
      <c r="H579" s="49" t="s">
        <v>230</v>
      </c>
      <c r="I579" s="49" t="s">
        <v>231</v>
      </c>
      <c r="J579" s="76">
        <v>-604.57000000000005</v>
      </c>
      <c r="K579" s="83" t="str">
        <f>IFERROR(IFERROR(VLOOKUP(I579,'DE-PARA'!B:D,3,0),VLOOKUP(I579,'DE-PARA'!C:D,2,0)),"NÃO ENCONTRADO")</f>
        <v>Serviços</v>
      </c>
      <c r="L579" s="50" t="str">
        <f>VLOOKUP(K579,'Base -Receita-Despesa'!$B:$P,1,FALSE)</f>
        <v>Serviços</v>
      </c>
    </row>
    <row r="580" spans="1:12" ht="15" customHeight="1" x14ac:dyDescent="0.3">
      <c r="A580" s="82" t="str">
        <f t="shared" ref="A580:A643" si="18">IF(K580="NÃO ENCONTRADO",0,RIGHT(D580,4))</f>
        <v>2016</v>
      </c>
      <c r="B580" s="72" t="s">
        <v>131</v>
      </c>
      <c r="C580" s="73" t="s">
        <v>132</v>
      </c>
      <c r="D580" s="74" t="str">
        <f t="shared" ref="D580:D643" si="19">TEXT(E580,"mmm/aaaa")</f>
        <v>mar/2016</v>
      </c>
      <c r="E580" s="53">
        <v>42450</v>
      </c>
      <c r="F580" s="75" t="s">
        <v>660</v>
      </c>
      <c r="G580" s="72"/>
      <c r="H580" s="49" t="s">
        <v>216</v>
      </c>
      <c r="I580" s="49" t="s">
        <v>196</v>
      </c>
      <c r="J580" s="76">
        <v>-844</v>
      </c>
      <c r="K580" s="83" t="str">
        <f>IFERROR(IFERROR(VLOOKUP(I580,'DE-PARA'!B:D,3,0),VLOOKUP(I580,'DE-PARA'!C:D,2,0)),"NÃO ENCONTRADO")</f>
        <v>Materiais</v>
      </c>
      <c r="L580" s="50" t="str">
        <f>VLOOKUP(K580,'Base -Receita-Despesa'!$B:$P,1,FALSE)</f>
        <v>Materiais</v>
      </c>
    </row>
    <row r="581" spans="1:12" ht="15" customHeight="1" x14ac:dyDescent="0.3">
      <c r="A581" s="82" t="str">
        <f t="shared" si="18"/>
        <v>2016</v>
      </c>
      <c r="B581" s="72" t="s">
        <v>131</v>
      </c>
      <c r="C581" s="73" t="s">
        <v>132</v>
      </c>
      <c r="D581" s="74" t="str">
        <f t="shared" si="19"/>
        <v>mar/2016</v>
      </c>
      <c r="E581" s="53">
        <v>42450</v>
      </c>
      <c r="F581" s="75" t="s">
        <v>661</v>
      </c>
      <c r="G581" s="72"/>
      <c r="H581" s="49" t="s">
        <v>216</v>
      </c>
      <c r="I581" s="49" t="s">
        <v>196</v>
      </c>
      <c r="J581" s="76">
        <v>-436.9</v>
      </c>
      <c r="K581" s="83" t="str">
        <f>IFERROR(IFERROR(VLOOKUP(I581,'DE-PARA'!B:D,3,0),VLOOKUP(I581,'DE-PARA'!C:D,2,0)),"NÃO ENCONTRADO")</f>
        <v>Materiais</v>
      </c>
      <c r="L581" s="50" t="str">
        <f>VLOOKUP(K581,'Base -Receita-Despesa'!$B:$P,1,FALSE)</f>
        <v>Materiais</v>
      </c>
    </row>
    <row r="582" spans="1:12" ht="15" customHeight="1" x14ac:dyDescent="0.3">
      <c r="A582" s="82" t="str">
        <f t="shared" si="18"/>
        <v>2016</v>
      </c>
      <c r="B582" s="72" t="s">
        <v>131</v>
      </c>
      <c r="C582" s="73" t="s">
        <v>132</v>
      </c>
      <c r="D582" s="74" t="str">
        <f t="shared" si="19"/>
        <v>mar/2016</v>
      </c>
      <c r="E582" s="53">
        <v>42450</v>
      </c>
      <c r="F582" s="75" t="s">
        <v>662</v>
      </c>
      <c r="G582" s="72"/>
      <c r="H582" s="49" t="s">
        <v>229</v>
      </c>
      <c r="I582" s="49" t="s">
        <v>159</v>
      </c>
      <c r="J582" s="76">
        <v>-972.63</v>
      </c>
      <c r="K582" s="83" t="str">
        <f>IFERROR(IFERROR(VLOOKUP(I582,'DE-PARA'!B:D,3,0),VLOOKUP(I582,'DE-PARA'!C:D,2,0)),"NÃO ENCONTRADO")</f>
        <v>Materiais</v>
      </c>
      <c r="L582" s="50" t="str">
        <f>VLOOKUP(K582,'Base -Receita-Despesa'!$B:$P,1,FALSE)</f>
        <v>Materiais</v>
      </c>
    </row>
    <row r="583" spans="1:12" ht="15" customHeight="1" x14ac:dyDescent="0.3">
      <c r="A583" s="82" t="str">
        <f t="shared" si="18"/>
        <v>2016</v>
      </c>
      <c r="B583" s="72" t="s">
        <v>131</v>
      </c>
      <c r="C583" s="73" t="s">
        <v>132</v>
      </c>
      <c r="D583" s="74" t="str">
        <f t="shared" si="19"/>
        <v>mar/2016</v>
      </c>
      <c r="E583" s="53">
        <v>42450</v>
      </c>
      <c r="F583" s="75" t="s">
        <v>342</v>
      </c>
      <c r="G583" s="72"/>
      <c r="H583" s="49" t="s">
        <v>229</v>
      </c>
      <c r="I583" s="49" t="s">
        <v>159</v>
      </c>
      <c r="J583" s="76">
        <v>-1019.71</v>
      </c>
      <c r="K583" s="83" t="str">
        <f>IFERROR(IFERROR(VLOOKUP(I583,'DE-PARA'!B:D,3,0),VLOOKUP(I583,'DE-PARA'!C:D,2,0)),"NÃO ENCONTRADO")</f>
        <v>Materiais</v>
      </c>
      <c r="L583" s="50" t="str">
        <f>VLOOKUP(K583,'Base -Receita-Despesa'!$B:$P,1,FALSE)</f>
        <v>Materiais</v>
      </c>
    </row>
    <row r="584" spans="1:12" ht="15" customHeight="1" x14ac:dyDescent="0.3">
      <c r="A584" s="82" t="str">
        <f t="shared" si="18"/>
        <v>2016</v>
      </c>
      <c r="B584" s="72" t="s">
        <v>131</v>
      </c>
      <c r="C584" s="73" t="s">
        <v>132</v>
      </c>
      <c r="D584" s="74" t="str">
        <f t="shared" si="19"/>
        <v>mar/2016</v>
      </c>
      <c r="E584" s="53">
        <v>42450</v>
      </c>
      <c r="F584" s="75" t="s">
        <v>663</v>
      </c>
      <c r="G584" s="72"/>
      <c r="H584" s="49" t="s">
        <v>229</v>
      </c>
      <c r="I584" s="49" t="s">
        <v>159</v>
      </c>
      <c r="J584" s="76">
        <v>-1139.29</v>
      </c>
      <c r="K584" s="83" t="str">
        <f>IFERROR(IFERROR(VLOOKUP(I584,'DE-PARA'!B:D,3,0),VLOOKUP(I584,'DE-PARA'!C:D,2,0)),"NÃO ENCONTRADO")</f>
        <v>Materiais</v>
      </c>
      <c r="L584" s="50" t="str">
        <f>VLOOKUP(K584,'Base -Receita-Despesa'!$B:$P,1,FALSE)</f>
        <v>Materiais</v>
      </c>
    </row>
    <row r="585" spans="1:12" ht="15" customHeight="1" x14ac:dyDescent="0.3">
      <c r="A585" s="82" t="str">
        <f t="shared" si="18"/>
        <v>2016</v>
      </c>
      <c r="B585" s="72" t="s">
        <v>131</v>
      </c>
      <c r="C585" s="73" t="s">
        <v>132</v>
      </c>
      <c r="D585" s="74" t="str">
        <f t="shared" si="19"/>
        <v>mar/2016</v>
      </c>
      <c r="E585" s="53">
        <v>42450</v>
      </c>
      <c r="F585" s="75" t="s">
        <v>664</v>
      </c>
      <c r="G585" s="72"/>
      <c r="H585" s="49" t="s">
        <v>229</v>
      </c>
      <c r="I585" s="49" t="s">
        <v>159</v>
      </c>
      <c r="J585" s="76">
        <v>-1485.18</v>
      </c>
      <c r="K585" s="83" t="str">
        <f>IFERROR(IFERROR(VLOOKUP(I585,'DE-PARA'!B:D,3,0),VLOOKUP(I585,'DE-PARA'!C:D,2,0)),"NÃO ENCONTRADO")</f>
        <v>Materiais</v>
      </c>
      <c r="L585" s="50" t="str">
        <f>VLOOKUP(K585,'Base -Receita-Despesa'!$B:$P,1,FALSE)</f>
        <v>Materiais</v>
      </c>
    </row>
    <row r="586" spans="1:12" ht="15" customHeight="1" x14ac:dyDescent="0.3">
      <c r="A586" s="82" t="str">
        <f t="shared" si="18"/>
        <v>2016</v>
      </c>
      <c r="B586" s="72" t="s">
        <v>131</v>
      </c>
      <c r="C586" s="73" t="s">
        <v>132</v>
      </c>
      <c r="D586" s="74" t="str">
        <f t="shared" si="19"/>
        <v>mar/2016</v>
      </c>
      <c r="E586" s="53">
        <v>42450</v>
      </c>
      <c r="F586" s="75" t="s">
        <v>496</v>
      </c>
      <c r="G586" s="72"/>
      <c r="H586" s="49" t="s">
        <v>229</v>
      </c>
      <c r="I586" s="49" t="s">
        <v>159</v>
      </c>
      <c r="J586" s="76">
        <v>-2014.75</v>
      </c>
      <c r="K586" s="83" t="str">
        <f>IFERROR(IFERROR(VLOOKUP(I586,'DE-PARA'!B:D,3,0),VLOOKUP(I586,'DE-PARA'!C:D,2,0)),"NÃO ENCONTRADO")</f>
        <v>Materiais</v>
      </c>
      <c r="L586" s="50" t="str">
        <f>VLOOKUP(K586,'Base -Receita-Despesa'!$B:$P,1,FALSE)</f>
        <v>Materiais</v>
      </c>
    </row>
    <row r="587" spans="1:12" ht="15" customHeight="1" x14ac:dyDescent="0.3">
      <c r="A587" s="82" t="str">
        <f t="shared" si="18"/>
        <v>2016</v>
      </c>
      <c r="B587" s="72" t="s">
        <v>131</v>
      </c>
      <c r="C587" s="73" t="s">
        <v>132</v>
      </c>
      <c r="D587" s="74" t="str">
        <f t="shared" si="19"/>
        <v>mar/2016</v>
      </c>
      <c r="E587" s="53">
        <v>42450</v>
      </c>
      <c r="F587" s="75" t="s">
        <v>448</v>
      </c>
      <c r="G587" s="72"/>
      <c r="H587" s="49" t="s">
        <v>229</v>
      </c>
      <c r="I587" s="49" t="s">
        <v>159</v>
      </c>
      <c r="J587" s="76">
        <v>-922.84</v>
      </c>
      <c r="K587" s="83" t="str">
        <f>IFERROR(IFERROR(VLOOKUP(I587,'DE-PARA'!B:D,3,0),VLOOKUP(I587,'DE-PARA'!C:D,2,0)),"NÃO ENCONTRADO")</f>
        <v>Materiais</v>
      </c>
      <c r="L587" s="50" t="str">
        <f>VLOOKUP(K587,'Base -Receita-Despesa'!$B:$P,1,FALSE)</f>
        <v>Materiais</v>
      </c>
    </row>
    <row r="588" spans="1:12" ht="15" customHeight="1" x14ac:dyDescent="0.3">
      <c r="A588" s="82" t="str">
        <f t="shared" si="18"/>
        <v>2016</v>
      </c>
      <c r="B588" s="72" t="s">
        <v>131</v>
      </c>
      <c r="C588" s="73" t="s">
        <v>132</v>
      </c>
      <c r="D588" s="74" t="str">
        <f t="shared" si="19"/>
        <v>mar/2016</v>
      </c>
      <c r="E588" s="53">
        <v>42450</v>
      </c>
      <c r="F588" s="75" t="s">
        <v>447</v>
      </c>
      <c r="G588" s="72"/>
      <c r="H588" s="49" t="s">
        <v>229</v>
      </c>
      <c r="I588" s="49" t="s">
        <v>159</v>
      </c>
      <c r="J588" s="76">
        <v>-2480.75</v>
      </c>
      <c r="K588" s="83" t="str">
        <f>IFERROR(IFERROR(VLOOKUP(I588,'DE-PARA'!B:D,3,0),VLOOKUP(I588,'DE-PARA'!C:D,2,0)),"NÃO ENCONTRADO")</f>
        <v>Materiais</v>
      </c>
      <c r="L588" s="50" t="str">
        <f>VLOOKUP(K588,'Base -Receita-Despesa'!$B:$P,1,FALSE)</f>
        <v>Materiais</v>
      </c>
    </row>
    <row r="589" spans="1:12" ht="15" customHeight="1" x14ac:dyDescent="0.3">
      <c r="A589" s="82" t="str">
        <f t="shared" si="18"/>
        <v>2016</v>
      </c>
      <c r="B589" s="72" t="s">
        <v>131</v>
      </c>
      <c r="C589" s="73" t="s">
        <v>132</v>
      </c>
      <c r="D589" s="74" t="str">
        <f t="shared" si="19"/>
        <v>mar/2016</v>
      </c>
      <c r="E589" s="53">
        <v>42450</v>
      </c>
      <c r="F589" s="75" t="s">
        <v>449</v>
      </c>
      <c r="G589" s="72"/>
      <c r="H589" s="49" t="s">
        <v>229</v>
      </c>
      <c r="I589" s="49" t="s">
        <v>159</v>
      </c>
      <c r="J589" s="76">
        <v>-3008.42</v>
      </c>
      <c r="K589" s="83" t="str">
        <f>IFERROR(IFERROR(VLOOKUP(I589,'DE-PARA'!B:D,3,0),VLOOKUP(I589,'DE-PARA'!C:D,2,0)),"NÃO ENCONTRADO")</f>
        <v>Materiais</v>
      </c>
      <c r="L589" s="50" t="str">
        <f>VLOOKUP(K589,'Base -Receita-Despesa'!$B:$P,1,FALSE)</f>
        <v>Materiais</v>
      </c>
    </row>
    <row r="590" spans="1:12" ht="15" customHeight="1" x14ac:dyDescent="0.3">
      <c r="A590" s="82" t="str">
        <f t="shared" si="18"/>
        <v>2016</v>
      </c>
      <c r="B590" s="72" t="s">
        <v>131</v>
      </c>
      <c r="C590" s="73" t="s">
        <v>132</v>
      </c>
      <c r="D590" s="74" t="str">
        <f t="shared" si="19"/>
        <v>mar/2016</v>
      </c>
      <c r="E590" s="53">
        <v>42450</v>
      </c>
      <c r="F590" s="75" t="s">
        <v>499</v>
      </c>
      <c r="G590" s="72"/>
      <c r="H590" s="49" t="s">
        <v>229</v>
      </c>
      <c r="I590" s="49" t="s">
        <v>159</v>
      </c>
      <c r="J590" s="76">
        <v>-479.92</v>
      </c>
      <c r="K590" s="83" t="str">
        <f>IFERROR(IFERROR(VLOOKUP(I590,'DE-PARA'!B:D,3,0),VLOOKUP(I590,'DE-PARA'!C:D,2,0)),"NÃO ENCONTRADO")</f>
        <v>Materiais</v>
      </c>
      <c r="L590" s="50" t="str">
        <f>VLOOKUP(K590,'Base -Receita-Despesa'!$B:$P,1,FALSE)</f>
        <v>Materiais</v>
      </c>
    </row>
    <row r="591" spans="1:12" ht="15" customHeight="1" x14ac:dyDescent="0.3">
      <c r="A591" s="82" t="str">
        <f t="shared" si="18"/>
        <v>2016</v>
      </c>
      <c r="B591" s="72" t="s">
        <v>131</v>
      </c>
      <c r="C591" s="73" t="s">
        <v>132</v>
      </c>
      <c r="D591" s="74" t="str">
        <f t="shared" si="19"/>
        <v>mar/2016</v>
      </c>
      <c r="E591" s="53">
        <v>42450</v>
      </c>
      <c r="F591" s="75" t="s">
        <v>665</v>
      </c>
      <c r="G591" s="72"/>
      <c r="H591" s="49" t="s">
        <v>217</v>
      </c>
      <c r="I591" s="49" t="s">
        <v>196</v>
      </c>
      <c r="J591" s="76">
        <v>-296.2</v>
      </c>
      <c r="K591" s="83" t="str">
        <f>IFERROR(IFERROR(VLOOKUP(I591,'DE-PARA'!B:D,3,0),VLOOKUP(I591,'DE-PARA'!C:D,2,0)),"NÃO ENCONTRADO")</f>
        <v>Materiais</v>
      </c>
      <c r="L591" s="50" t="str">
        <f>VLOOKUP(K591,'Base -Receita-Despesa'!$B:$P,1,FALSE)</f>
        <v>Materiais</v>
      </c>
    </row>
    <row r="592" spans="1:12" ht="15" customHeight="1" x14ac:dyDescent="0.3">
      <c r="A592" s="82" t="str">
        <f t="shared" si="18"/>
        <v>2016</v>
      </c>
      <c r="B592" s="72" t="s">
        <v>131</v>
      </c>
      <c r="C592" s="73" t="s">
        <v>132</v>
      </c>
      <c r="D592" s="74" t="str">
        <f t="shared" si="19"/>
        <v>mar/2016</v>
      </c>
      <c r="E592" s="53">
        <v>42450</v>
      </c>
      <c r="F592" s="75" t="s">
        <v>666</v>
      </c>
      <c r="G592" s="72"/>
      <c r="H592" s="49" t="s">
        <v>217</v>
      </c>
      <c r="I592" s="49" t="s">
        <v>196</v>
      </c>
      <c r="J592" s="76">
        <v>-240</v>
      </c>
      <c r="K592" s="83" t="str">
        <f>IFERROR(IFERROR(VLOOKUP(I592,'DE-PARA'!B:D,3,0),VLOOKUP(I592,'DE-PARA'!C:D,2,0)),"NÃO ENCONTRADO")</f>
        <v>Materiais</v>
      </c>
      <c r="L592" s="50" t="str">
        <f>VLOOKUP(K592,'Base -Receita-Despesa'!$B:$P,1,FALSE)</f>
        <v>Materiais</v>
      </c>
    </row>
    <row r="593" spans="1:12" ht="15" customHeight="1" x14ac:dyDescent="0.3">
      <c r="A593" s="82" t="str">
        <f t="shared" si="18"/>
        <v>2016</v>
      </c>
      <c r="B593" s="72" t="s">
        <v>131</v>
      </c>
      <c r="C593" s="73" t="s">
        <v>132</v>
      </c>
      <c r="D593" s="74" t="str">
        <f t="shared" si="19"/>
        <v>mar/2016</v>
      </c>
      <c r="E593" s="53">
        <v>42450</v>
      </c>
      <c r="F593" s="75" t="s">
        <v>667</v>
      </c>
      <c r="G593" s="72"/>
      <c r="H593" s="49" t="s">
        <v>668</v>
      </c>
      <c r="I593" s="49" t="s">
        <v>150</v>
      </c>
      <c r="J593" s="76">
        <v>-702.5</v>
      </c>
      <c r="K593" s="83" t="str">
        <f>IFERROR(IFERROR(VLOOKUP(I593,'DE-PARA'!B:D,3,0),VLOOKUP(I593,'DE-PARA'!C:D,2,0)),"NÃO ENCONTRADO")</f>
        <v>Materiais</v>
      </c>
      <c r="L593" s="50" t="str">
        <f>VLOOKUP(K593,'Base -Receita-Despesa'!$B:$P,1,FALSE)</f>
        <v>Materiais</v>
      </c>
    </row>
    <row r="594" spans="1:12" ht="15" customHeight="1" x14ac:dyDescent="0.3">
      <c r="A594" s="82" t="str">
        <f t="shared" si="18"/>
        <v>2016</v>
      </c>
      <c r="B594" s="72" t="s">
        <v>131</v>
      </c>
      <c r="C594" s="73" t="s">
        <v>132</v>
      </c>
      <c r="D594" s="74" t="str">
        <f t="shared" si="19"/>
        <v>mar/2016</v>
      </c>
      <c r="E594" s="53">
        <v>42451</v>
      </c>
      <c r="F594" s="75">
        <v>120522</v>
      </c>
      <c r="G594" s="72"/>
      <c r="H594" s="49" t="s">
        <v>669</v>
      </c>
      <c r="I594" s="49" t="s">
        <v>515</v>
      </c>
      <c r="J594" s="76">
        <v>-24200</v>
      </c>
      <c r="K594" s="83" t="str">
        <f>IFERROR(IFERROR(VLOOKUP(I594,'DE-PARA'!B:D,3,0),VLOOKUP(I594,'DE-PARA'!C:D,2,0)),"NÃO ENCONTRADO")</f>
        <v>Serviços</v>
      </c>
      <c r="L594" s="50" t="str">
        <f>VLOOKUP(K594,'Base -Receita-Despesa'!$B:$P,1,FALSE)</f>
        <v>Serviços</v>
      </c>
    </row>
    <row r="595" spans="1:12" ht="15" customHeight="1" x14ac:dyDescent="0.3">
      <c r="A595" s="82" t="str">
        <f t="shared" si="18"/>
        <v>2016</v>
      </c>
      <c r="B595" s="72" t="s">
        <v>131</v>
      </c>
      <c r="C595" s="73" t="s">
        <v>132</v>
      </c>
      <c r="D595" s="74" t="str">
        <f t="shared" si="19"/>
        <v>mar/2016</v>
      </c>
      <c r="E595" s="53">
        <v>42451</v>
      </c>
      <c r="F595" s="75">
        <v>553897</v>
      </c>
      <c r="G595" s="72"/>
      <c r="H595" s="49" t="s">
        <v>517</v>
      </c>
      <c r="I595" s="49" t="s">
        <v>159</v>
      </c>
      <c r="J595" s="76">
        <v>-892.5</v>
      </c>
      <c r="K595" s="83" t="str">
        <f>IFERROR(IFERROR(VLOOKUP(I595,'DE-PARA'!B:D,3,0),VLOOKUP(I595,'DE-PARA'!C:D,2,0)),"NÃO ENCONTRADO")</f>
        <v>Materiais</v>
      </c>
      <c r="L595" s="50" t="str">
        <f>VLOOKUP(K595,'Base -Receita-Despesa'!$B:$P,1,FALSE)</f>
        <v>Materiais</v>
      </c>
    </row>
    <row r="596" spans="1:12" ht="15" customHeight="1" x14ac:dyDescent="0.3">
      <c r="A596" s="82" t="str">
        <f t="shared" si="18"/>
        <v>2016</v>
      </c>
      <c r="B596" s="72" t="s">
        <v>131</v>
      </c>
      <c r="C596" s="73" t="s">
        <v>132</v>
      </c>
      <c r="D596" s="74" t="str">
        <f t="shared" si="19"/>
        <v>mar/2016</v>
      </c>
      <c r="E596" s="53">
        <v>42451</v>
      </c>
      <c r="F596" s="75">
        <v>33722</v>
      </c>
      <c r="G596" s="72"/>
      <c r="H596" s="49" t="s">
        <v>149</v>
      </c>
      <c r="I596" s="49" t="s">
        <v>129</v>
      </c>
      <c r="J596" s="76">
        <v>-7.85</v>
      </c>
      <c r="K596" s="83" t="str">
        <f>IFERROR(IFERROR(VLOOKUP(I596,'DE-PARA'!B:D,3,0),VLOOKUP(I596,'DE-PARA'!C:D,2,0)),"NÃO ENCONTRADO")</f>
        <v>Outras Saídas</v>
      </c>
      <c r="L596" s="50" t="str">
        <f>VLOOKUP(K596,'Base -Receita-Despesa'!$B:$P,1,FALSE)</f>
        <v>Outras Saídas</v>
      </c>
    </row>
    <row r="597" spans="1:12" ht="15" customHeight="1" x14ac:dyDescent="0.3">
      <c r="A597" s="82" t="str">
        <f t="shared" si="18"/>
        <v>2016</v>
      </c>
      <c r="B597" s="72" t="s">
        <v>131</v>
      </c>
      <c r="C597" s="73" t="s">
        <v>132</v>
      </c>
      <c r="D597" s="74" t="str">
        <f t="shared" si="19"/>
        <v>mar/2016</v>
      </c>
      <c r="E597" s="53">
        <v>42451</v>
      </c>
      <c r="F597" s="75">
        <v>33722</v>
      </c>
      <c r="G597" s="72"/>
      <c r="H597" s="49" t="s">
        <v>503</v>
      </c>
      <c r="I597" s="49" t="s">
        <v>159</v>
      </c>
      <c r="J597" s="76">
        <v>-166.8</v>
      </c>
      <c r="K597" s="83" t="str">
        <f>IFERROR(IFERROR(VLOOKUP(I597,'DE-PARA'!B:D,3,0),VLOOKUP(I597,'DE-PARA'!C:D,2,0)),"NÃO ENCONTRADO")</f>
        <v>Materiais</v>
      </c>
      <c r="L597" s="50" t="str">
        <f>VLOOKUP(K597,'Base -Receita-Despesa'!$B:$P,1,FALSE)</f>
        <v>Materiais</v>
      </c>
    </row>
    <row r="598" spans="1:12" ht="15" customHeight="1" x14ac:dyDescent="0.3">
      <c r="A598" s="82" t="str">
        <f t="shared" si="18"/>
        <v>2016</v>
      </c>
      <c r="B598" s="72" t="s">
        <v>131</v>
      </c>
      <c r="C598" s="73" t="s">
        <v>132</v>
      </c>
      <c r="D598" s="74" t="str">
        <f t="shared" si="19"/>
        <v>mar/2016</v>
      </c>
      <c r="E598" s="53">
        <v>42451</v>
      </c>
      <c r="F598" s="75">
        <v>412278</v>
      </c>
      <c r="G598" s="72"/>
      <c r="H598" s="49" t="s">
        <v>670</v>
      </c>
      <c r="I598" s="49" t="s">
        <v>138</v>
      </c>
      <c r="J598" s="76">
        <v>-322.95999999999998</v>
      </c>
      <c r="K598" s="83" t="str">
        <f>IFERROR(IFERROR(VLOOKUP(I598,'DE-PARA'!B:D,3,0),VLOOKUP(I598,'DE-PARA'!C:D,2,0)),"NÃO ENCONTRADO")</f>
        <v>Serviços</v>
      </c>
      <c r="L598" s="50" t="str">
        <f>VLOOKUP(K598,'Base -Receita-Despesa'!$B:$P,1,FALSE)</f>
        <v>Serviços</v>
      </c>
    </row>
    <row r="599" spans="1:12" ht="15" customHeight="1" x14ac:dyDescent="0.3">
      <c r="A599" s="82" t="str">
        <f t="shared" si="18"/>
        <v>2016</v>
      </c>
      <c r="B599" s="72" t="s">
        <v>131</v>
      </c>
      <c r="C599" s="73" t="s">
        <v>132</v>
      </c>
      <c r="D599" s="74" t="str">
        <f t="shared" si="19"/>
        <v>mar/2016</v>
      </c>
      <c r="E599" s="53">
        <v>42453</v>
      </c>
      <c r="F599" s="75">
        <v>42572</v>
      </c>
      <c r="G599" s="72"/>
      <c r="H599" s="49" t="s">
        <v>671</v>
      </c>
      <c r="I599" s="49" t="s">
        <v>110</v>
      </c>
      <c r="J599" s="76">
        <v>-850</v>
      </c>
      <c r="K599" s="83" t="str">
        <f>IFERROR(IFERROR(VLOOKUP(I599,'DE-PARA'!B:D,3,0),VLOOKUP(I599,'DE-PARA'!C:D,2,0)),"NÃO ENCONTRADO")</f>
        <v>Serviços</v>
      </c>
      <c r="L599" s="50" t="str">
        <f>VLOOKUP(K599,'Base -Receita-Despesa'!$B:$P,1,FALSE)</f>
        <v>Serviços</v>
      </c>
    </row>
    <row r="600" spans="1:12" ht="15" customHeight="1" x14ac:dyDescent="0.3">
      <c r="A600" s="82" t="str">
        <f t="shared" si="18"/>
        <v>2016</v>
      </c>
      <c r="B600" s="72" t="s">
        <v>131</v>
      </c>
      <c r="C600" s="73" t="s">
        <v>132</v>
      </c>
      <c r="D600" s="74" t="str">
        <f t="shared" si="19"/>
        <v>mar/2016</v>
      </c>
      <c r="E600" s="53">
        <v>42453</v>
      </c>
      <c r="F600" s="75">
        <v>508203</v>
      </c>
      <c r="G600" s="72"/>
      <c r="H600" s="49" t="s">
        <v>517</v>
      </c>
      <c r="I600" s="49" t="s">
        <v>159</v>
      </c>
      <c r="J600" s="76">
        <v>-3111.4</v>
      </c>
      <c r="K600" s="83" t="str">
        <f>IFERROR(IFERROR(VLOOKUP(I600,'DE-PARA'!B:D,3,0),VLOOKUP(I600,'DE-PARA'!C:D,2,0)),"NÃO ENCONTRADO")</f>
        <v>Materiais</v>
      </c>
      <c r="L600" s="50" t="str">
        <f>VLOOKUP(K600,'Base -Receita-Despesa'!$B:$P,1,FALSE)</f>
        <v>Materiais</v>
      </c>
    </row>
    <row r="601" spans="1:12" ht="15" customHeight="1" x14ac:dyDescent="0.3">
      <c r="A601" s="82" t="str">
        <f t="shared" si="18"/>
        <v>2016</v>
      </c>
      <c r="B601" s="72" t="s">
        <v>131</v>
      </c>
      <c r="C601" s="73" t="s">
        <v>132</v>
      </c>
      <c r="D601" s="74" t="str">
        <f t="shared" si="19"/>
        <v>mar/2016</v>
      </c>
      <c r="E601" s="53">
        <v>42453</v>
      </c>
      <c r="F601" s="75">
        <v>41072</v>
      </c>
      <c r="G601" s="72"/>
      <c r="H601" s="49" t="s">
        <v>672</v>
      </c>
      <c r="I601" s="49" t="s">
        <v>192</v>
      </c>
      <c r="J601" s="76">
        <v>-830.97</v>
      </c>
      <c r="K601" s="83" t="str">
        <f>IFERROR(IFERROR(VLOOKUP(I601,'DE-PARA'!B:D,3,0),VLOOKUP(I601,'DE-PARA'!C:D,2,0)),"NÃO ENCONTRADO")</f>
        <v>Materiais</v>
      </c>
      <c r="L601" s="50" t="str">
        <f>VLOOKUP(K601,'Base -Receita-Despesa'!$B:$P,1,FALSE)</f>
        <v>Materiais</v>
      </c>
    </row>
    <row r="602" spans="1:12" ht="15" customHeight="1" x14ac:dyDescent="0.3">
      <c r="A602" s="82" t="str">
        <f t="shared" si="18"/>
        <v>2016</v>
      </c>
      <c r="B602" s="72" t="s">
        <v>131</v>
      </c>
      <c r="C602" s="73" t="s">
        <v>132</v>
      </c>
      <c r="D602" s="74" t="str">
        <f t="shared" si="19"/>
        <v>mar/2016</v>
      </c>
      <c r="E602" s="53">
        <v>42453</v>
      </c>
      <c r="F602" s="75">
        <v>252857</v>
      </c>
      <c r="G602" s="72"/>
      <c r="H602" s="49" t="s">
        <v>673</v>
      </c>
      <c r="I602" s="49" t="s">
        <v>192</v>
      </c>
      <c r="J602" s="76">
        <v>-152.31</v>
      </c>
      <c r="K602" s="83" t="str">
        <f>IFERROR(IFERROR(VLOOKUP(I602,'DE-PARA'!B:D,3,0),VLOOKUP(I602,'DE-PARA'!C:D,2,0)),"NÃO ENCONTRADO")</f>
        <v>Materiais</v>
      </c>
      <c r="L602" s="50" t="str">
        <f>VLOOKUP(K602,'Base -Receita-Despesa'!$B:$P,1,FALSE)</f>
        <v>Materiais</v>
      </c>
    </row>
    <row r="603" spans="1:12" ht="15" customHeight="1" x14ac:dyDescent="0.3">
      <c r="A603" s="82" t="str">
        <f t="shared" si="18"/>
        <v>2016</v>
      </c>
      <c r="B603" s="72" t="s">
        <v>131</v>
      </c>
      <c r="C603" s="73" t="s">
        <v>132</v>
      </c>
      <c r="D603" s="74" t="str">
        <f t="shared" si="19"/>
        <v>mar/2016</v>
      </c>
      <c r="E603" s="53">
        <v>42453</v>
      </c>
      <c r="F603" s="75">
        <v>107932</v>
      </c>
      <c r="G603" s="72"/>
      <c r="H603" s="49" t="s">
        <v>213</v>
      </c>
      <c r="I603" s="49" t="s">
        <v>159</v>
      </c>
      <c r="J603" s="76">
        <v>-4467.0600000000004</v>
      </c>
      <c r="K603" s="83" t="str">
        <f>IFERROR(IFERROR(VLOOKUP(I603,'DE-PARA'!B:D,3,0),VLOOKUP(I603,'DE-PARA'!C:D,2,0)),"NÃO ENCONTRADO")</f>
        <v>Materiais</v>
      </c>
      <c r="L603" s="50" t="str">
        <f>VLOOKUP(K603,'Base -Receita-Despesa'!$B:$P,1,FALSE)</f>
        <v>Materiais</v>
      </c>
    </row>
    <row r="604" spans="1:12" ht="15" customHeight="1" x14ac:dyDescent="0.3">
      <c r="A604" s="82" t="str">
        <f t="shared" si="18"/>
        <v>2016</v>
      </c>
      <c r="B604" s="72" t="s">
        <v>131</v>
      </c>
      <c r="C604" s="73" t="s">
        <v>132</v>
      </c>
      <c r="D604" s="74" t="str">
        <f t="shared" si="19"/>
        <v>mar/2016</v>
      </c>
      <c r="E604" s="53">
        <v>42453</v>
      </c>
      <c r="F604" s="75">
        <v>108168</v>
      </c>
      <c r="G604" s="72"/>
      <c r="H604" s="49" t="s">
        <v>213</v>
      </c>
      <c r="I604" s="49" t="s">
        <v>159</v>
      </c>
      <c r="J604" s="76">
        <v>-1144.67</v>
      </c>
      <c r="K604" s="83" t="str">
        <f>IFERROR(IFERROR(VLOOKUP(I604,'DE-PARA'!B:D,3,0),VLOOKUP(I604,'DE-PARA'!C:D,2,0)),"NÃO ENCONTRADO")</f>
        <v>Materiais</v>
      </c>
      <c r="L604" s="50" t="str">
        <f>VLOOKUP(K604,'Base -Receita-Despesa'!$B:$P,1,FALSE)</f>
        <v>Materiais</v>
      </c>
    </row>
    <row r="605" spans="1:12" ht="15" customHeight="1" x14ac:dyDescent="0.3">
      <c r="A605" s="82" t="str">
        <f t="shared" si="18"/>
        <v>2016</v>
      </c>
      <c r="B605" s="72" t="s">
        <v>131</v>
      </c>
      <c r="C605" s="73" t="s">
        <v>132</v>
      </c>
      <c r="D605" s="74" t="str">
        <f t="shared" si="19"/>
        <v>mar/2016</v>
      </c>
      <c r="E605" s="53">
        <v>42453</v>
      </c>
      <c r="F605" s="75">
        <v>254650</v>
      </c>
      <c r="G605" s="72"/>
      <c r="H605" s="49" t="s">
        <v>383</v>
      </c>
      <c r="I605" s="49" t="s">
        <v>192</v>
      </c>
      <c r="J605" s="76">
        <v>-678.27</v>
      </c>
      <c r="K605" s="83" t="str">
        <f>IFERROR(IFERROR(VLOOKUP(I605,'DE-PARA'!B:D,3,0),VLOOKUP(I605,'DE-PARA'!C:D,2,0)),"NÃO ENCONTRADO")</f>
        <v>Materiais</v>
      </c>
      <c r="L605" s="50" t="str">
        <f>VLOOKUP(K605,'Base -Receita-Despesa'!$B:$P,1,FALSE)</f>
        <v>Materiais</v>
      </c>
    </row>
    <row r="606" spans="1:12" ht="15" customHeight="1" x14ac:dyDescent="0.3">
      <c r="A606" s="82" t="str">
        <f t="shared" si="18"/>
        <v>2016</v>
      </c>
      <c r="B606" s="72" t="s">
        <v>131</v>
      </c>
      <c r="C606" s="73" t="s">
        <v>132</v>
      </c>
      <c r="D606" s="74" t="str">
        <f t="shared" si="19"/>
        <v>mar/2016</v>
      </c>
      <c r="E606" s="53">
        <v>42453</v>
      </c>
      <c r="F606" s="75">
        <v>254650</v>
      </c>
      <c r="G606" s="72"/>
      <c r="H606" s="49" t="s">
        <v>383</v>
      </c>
      <c r="I606" s="49" t="s">
        <v>192</v>
      </c>
      <c r="J606" s="76">
        <v>-678.27</v>
      </c>
      <c r="K606" s="83" t="str">
        <f>IFERROR(IFERROR(VLOOKUP(I606,'DE-PARA'!B:D,3,0),VLOOKUP(I606,'DE-PARA'!C:D,2,0)),"NÃO ENCONTRADO")</f>
        <v>Materiais</v>
      </c>
      <c r="L606" s="50" t="str">
        <f>VLOOKUP(K606,'Base -Receita-Despesa'!$B:$P,1,FALSE)</f>
        <v>Materiais</v>
      </c>
    </row>
    <row r="607" spans="1:12" ht="15" customHeight="1" x14ac:dyDescent="0.3">
      <c r="A607" s="82" t="str">
        <f t="shared" si="18"/>
        <v>2016</v>
      </c>
      <c r="B607" s="72" t="s">
        <v>131</v>
      </c>
      <c r="C607" s="73" t="s">
        <v>132</v>
      </c>
      <c r="D607" s="74" t="str">
        <f t="shared" si="19"/>
        <v>mar/2016</v>
      </c>
      <c r="E607" s="53">
        <v>42457</v>
      </c>
      <c r="F607" s="75">
        <v>858590</v>
      </c>
      <c r="G607" s="72"/>
      <c r="H607" s="49" t="s">
        <v>187</v>
      </c>
      <c r="I607" s="49" t="s">
        <v>159</v>
      </c>
      <c r="J607" s="76">
        <v>-2704.8</v>
      </c>
      <c r="K607" s="83" t="str">
        <f>IFERROR(IFERROR(VLOOKUP(I607,'DE-PARA'!B:D,3,0),VLOOKUP(I607,'DE-PARA'!C:D,2,0)),"NÃO ENCONTRADO")</f>
        <v>Materiais</v>
      </c>
      <c r="L607" s="50" t="str">
        <f>VLOOKUP(K607,'Base -Receita-Despesa'!$B:$P,1,FALSE)</f>
        <v>Materiais</v>
      </c>
    </row>
    <row r="608" spans="1:12" ht="15" customHeight="1" x14ac:dyDescent="0.3">
      <c r="A608" s="82" t="str">
        <f t="shared" si="18"/>
        <v>2016</v>
      </c>
      <c r="B608" s="72" t="s">
        <v>131</v>
      </c>
      <c r="C608" s="73" t="s">
        <v>132</v>
      </c>
      <c r="D608" s="74" t="str">
        <f t="shared" si="19"/>
        <v>mar/2016</v>
      </c>
      <c r="E608" s="53">
        <v>42457</v>
      </c>
      <c r="F608" s="75">
        <v>478439</v>
      </c>
      <c r="G608" s="72"/>
      <c r="H608" s="49" t="s">
        <v>674</v>
      </c>
      <c r="I608" s="49" t="s">
        <v>127</v>
      </c>
      <c r="J608" s="76">
        <v>-1462.91</v>
      </c>
      <c r="K608" s="83" t="str">
        <f>IFERROR(IFERROR(VLOOKUP(I608,'DE-PARA'!B:D,3,0),VLOOKUP(I608,'DE-PARA'!C:D,2,0)),"NÃO ENCONTRADO")</f>
        <v>Pessoal</v>
      </c>
      <c r="L608" s="50" t="str">
        <f>VLOOKUP(K608,'Base -Receita-Despesa'!$B:$P,1,FALSE)</f>
        <v>Pessoal</v>
      </c>
    </row>
    <row r="609" spans="1:12" ht="15" customHeight="1" x14ac:dyDescent="0.3">
      <c r="A609" s="82" t="str">
        <f t="shared" si="18"/>
        <v>2016</v>
      </c>
      <c r="B609" s="72" t="s">
        <v>131</v>
      </c>
      <c r="C609" s="73" t="s">
        <v>132</v>
      </c>
      <c r="D609" s="74" t="str">
        <f t="shared" si="19"/>
        <v>mar/2016</v>
      </c>
      <c r="E609" s="53">
        <v>42457</v>
      </c>
      <c r="F609" s="75">
        <v>55250</v>
      </c>
      <c r="G609" s="72"/>
      <c r="H609" s="49" t="s">
        <v>149</v>
      </c>
      <c r="I609" s="49" t="s">
        <v>129</v>
      </c>
      <c r="J609" s="76">
        <v>-7.85</v>
      </c>
      <c r="K609" s="83" t="str">
        <f>IFERROR(IFERROR(VLOOKUP(I609,'DE-PARA'!B:D,3,0),VLOOKUP(I609,'DE-PARA'!C:D,2,0)),"NÃO ENCONTRADO")</f>
        <v>Outras Saídas</v>
      </c>
      <c r="L609" s="50" t="str">
        <f>VLOOKUP(K609,'Base -Receita-Despesa'!$B:$P,1,FALSE)</f>
        <v>Outras Saídas</v>
      </c>
    </row>
    <row r="610" spans="1:12" ht="15" customHeight="1" x14ac:dyDescent="0.3">
      <c r="A610" s="82" t="str">
        <f t="shared" si="18"/>
        <v>2016</v>
      </c>
      <c r="B610" s="72" t="s">
        <v>131</v>
      </c>
      <c r="C610" s="73" t="s">
        <v>132</v>
      </c>
      <c r="D610" s="74" t="str">
        <f t="shared" si="19"/>
        <v>mar/2016</v>
      </c>
      <c r="E610" s="53">
        <v>42457</v>
      </c>
      <c r="F610" s="75">
        <v>55404</v>
      </c>
      <c r="G610" s="72"/>
      <c r="H610" s="49" t="s">
        <v>149</v>
      </c>
      <c r="I610" s="49" t="s">
        <v>129</v>
      </c>
      <c r="J610" s="76">
        <v>-7.85</v>
      </c>
      <c r="K610" s="83" t="str">
        <f>IFERROR(IFERROR(VLOOKUP(I610,'DE-PARA'!B:D,3,0),VLOOKUP(I610,'DE-PARA'!C:D,2,0)),"NÃO ENCONTRADO")</f>
        <v>Outras Saídas</v>
      </c>
      <c r="L610" s="50" t="str">
        <f>VLOOKUP(K610,'Base -Receita-Despesa'!$B:$P,1,FALSE)</f>
        <v>Outras Saídas</v>
      </c>
    </row>
    <row r="611" spans="1:12" ht="15" customHeight="1" x14ac:dyDescent="0.3">
      <c r="A611" s="82" t="str">
        <f t="shared" si="18"/>
        <v>2016</v>
      </c>
      <c r="B611" s="72" t="s">
        <v>131</v>
      </c>
      <c r="C611" s="73" t="s">
        <v>132</v>
      </c>
      <c r="D611" s="74" t="str">
        <f t="shared" si="19"/>
        <v>mar/2016</v>
      </c>
      <c r="E611" s="53">
        <v>42457</v>
      </c>
      <c r="F611" s="75">
        <v>479385</v>
      </c>
      <c r="G611" s="72"/>
      <c r="H611" s="49" t="s">
        <v>675</v>
      </c>
      <c r="I611" s="49" t="s">
        <v>127</v>
      </c>
      <c r="J611" s="76">
        <v>-3277.64</v>
      </c>
      <c r="K611" s="83" t="str">
        <f>IFERROR(IFERROR(VLOOKUP(I611,'DE-PARA'!B:D,3,0),VLOOKUP(I611,'DE-PARA'!C:D,2,0)),"NÃO ENCONTRADO")</f>
        <v>Pessoal</v>
      </c>
      <c r="L611" s="50" t="str">
        <f>VLOOKUP(K611,'Base -Receita-Despesa'!$B:$P,1,FALSE)</f>
        <v>Pessoal</v>
      </c>
    </row>
    <row r="612" spans="1:12" ht="15" customHeight="1" x14ac:dyDescent="0.3">
      <c r="A612" s="82" t="str">
        <f t="shared" si="18"/>
        <v>2016</v>
      </c>
      <c r="B612" s="72" t="s">
        <v>131</v>
      </c>
      <c r="C612" s="73" t="s">
        <v>132</v>
      </c>
      <c r="D612" s="74" t="str">
        <f t="shared" si="19"/>
        <v>mar/2016</v>
      </c>
      <c r="E612" s="53">
        <v>42457</v>
      </c>
      <c r="F612" s="75">
        <v>55404</v>
      </c>
      <c r="G612" s="72"/>
      <c r="H612" s="49" t="s">
        <v>316</v>
      </c>
      <c r="I612" s="49" t="s">
        <v>317</v>
      </c>
      <c r="J612" s="76">
        <v>-337.17</v>
      </c>
      <c r="K612" s="83" t="str">
        <f>IFERROR(IFERROR(VLOOKUP(I612,'DE-PARA'!B:D,3,0),VLOOKUP(I612,'DE-PARA'!C:D,2,0)),"NÃO ENCONTRADO")</f>
        <v>Investimentos</v>
      </c>
      <c r="L612" s="50" t="str">
        <f>VLOOKUP(K612,'Base -Receita-Despesa'!$B:$P,1,FALSE)</f>
        <v>Investimentos</v>
      </c>
    </row>
    <row r="613" spans="1:12" ht="15" customHeight="1" x14ac:dyDescent="0.3">
      <c r="A613" s="82" t="str">
        <f t="shared" si="18"/>
        <v>2016</v>
      </c>
      <c r="B613" s="72" t="s">
        <v>131</v>
      </c>
      <c r="C613" s="73" t="s">
        <v>132</v>
      </c>
      <c r="D613" s="74" t="str">
        <f t="shared" si="19"/>
        <v>mar/2016</v>
      </c>
      <c r="E613" s="53">
        <v>42457</v>
      </c>
      <c r="F613" s="75">
        <v>863475</v>
      </c>
      <c r="G613" s="72"/>
      <c r="H613" s="49" t="s">
        <v>592</v>
      </c>
      <c r="I613" s="49" t="s">
        <v>189</v>
      </c>
      <c r="J613" s="76">
        <v>-440</v>
      </c>
      <c r="K613" s="83" t="str">
        <f>IFERROR(IFERROR(VLOOKUP(I613,'DE-PARA'!B:D,3,0),VLOOKUP(I613,'DE-PARA'!C:D,2,0)),"NÃO ENCONTRADO")</f>
        <v>Materiais</v>
      </c>
      <c r="L613" s="50" t="str">
        <f>VLOOKUP(K613,'Base -Receita-Despesa'!$B:$P,1,FALSE)</f>
        <v>Materiais</v>
      </c>
    </row>
    <row r="614" spans="1:12" ht="15" customHeight="1" x14ac:dyDescent="0.3">
      <c r="A614" s="82" t="str">
        <f t="shared" si="18"/>
        <v>2016</v>
      </c>
      <c r="B614" s="72" t="s">
        <v>131</v>
      </c>
      <c r="C614" s="73" t="s">
        <v>132</v>
      </c>
      <c r="D614" s="74" t="str">
        <f t="shared" si="19"/>
        <v>mar/2016</v>
      </c>
      <c r="E614" s="53">
        <v>42457</v>
      </c>
      <c r="F614" s="75">
        <v>481837</v>
      </c>
      <c r="G614" s="72"/>
      <c r="H614" s="49" t="s">
        <v>200</v>
      </c>
      <c r="I614" s="49" t="s">
        <v>192</v>
      </c>
      <c r="J614" s="76">
        <v>-1533.16</v>
      </c>
      <c r="K614" s="83" t="str">
        <f>IFERROR(IFERROR(VLOOKUP(I614,'DE-PARA'!B:D,3,0),VLOOKUP(I614,'DE-PARA'!C:D,2,0)),"NÃO ENCONTRADO")</f>
        <v>Materiais</v>
      </c>
      <c r="L614" s="50" t="str">
        <f>VLOOKUP(K614,'Base -Receita-Despesa'!$B:$P,1,FALSE)</f>
        <v>Materiais</v>
      </c>
    </row>
    <row r="615" spans="1:12" ht="15" customHeight="1" x14ac:dyDescent="0.3">
      <c r="A615" s="82" t="str">
        <f t="shared" si="18"/>
        <v>2016</v>
      </c>
      <c r="B615" s="72" t="s">
        <v>131</v>
      </c>
      <c r="C615" s="73" t="s">
        <v>132</v>
      </c>
      <c r="D615" s="74" t="str">
        <f t="shared" si="19"/>
        <v>mar/2016</v>
      </c>
      <c r="E615" s="53">
        <v>42457</v>
      </c>
      <c r="F615" s="75">
        <v>482471</v>
      </c>
      <c r="G615" s="72"/>
      <c r="H615" s="49" t="s">
        <v>676</v>
      </c>
      <c r="I615" s="49" t="s">
        <v>127</v>
      </c>
      <c r="J615" s="76">
        <v>-1775.39</v>
      </c>
      <c r="K615" s="83" t="str">
        <f>IFERROR(IFERROR(VLOOKUP(I615,'DE-PARA'!B:D,3,0),VLOOKUP(I615,'DE-PARA'!C:D,2,0)),"NÃO ENCONTRADO")</f>
        <v>Pessoal</v>
      </c>
      <c r="L615" s="50" t="str">
        <f>VLOOKUP(K615,'Base -Receita-Despesa'!$B:$P,1,FALSE)</f>
        <v>Pessoal</v>
      </c>
    </row>
    <row r="616" spans="1:12" ht="15" customHeight="1" x14ac:dyDescent="0.3">
      <c r="A616" s="82" t="str">
        <f t="shared" si="18"/>
        <v>2016</v>
      </c>
      <c r="B616" s="72" t="s">
        <v>131</v>
      </c>
      <c r="C616" s="73" t="s">
        <v>132</v>
      </c>
      <c r="D616" s="74" t="str">
        <f t="shared" si="19"/>
        <v>mar/2016</v>
      </c>
      <c r="E616" s="53">
        <v>42457</v>
      </c>
      <c r="F616" s="75">
        <v>0</v>
      </c>
      <c r="G616" s="72"/>
      <c r="H616" s="49" t="s">
        <v>236</v>
      </c>
      <c r="I616" s="49" t="s">
        <v>129</v>
      </c>
      <c r="J616" s="76">
        <v>-25.3</v>
      </c>
      <c r="K616" s="83" t="str">
        <f>IFERROR(IFERROR(VLOOKUP(I616,'DE-PARA'!B:D,3,0),VLOOKUP(I616,'DE-PARA'!C:D,2,0)),"NÃO ENCONTRADO")</f>
        <v>Outras Saídas</v>
      </c>
      <c r="L616" s="50" t="str">
        <f>VLOOKUP(K616,'Base -Receita-Despesa'!$B:$P,1,FALSE)</f>
        <v>Outras Saídas</v>
      </c>
    </row>
    <row r="617" spans="1:12" ht="15" customHeight="1" x14ac:dyDescent="0.3">
      <c r="A617" s="82" t="str">
        <f t="shared" si="18"/>
        <v>2016</v>
      </c>
      <c r="B617" s="72" t="s">
        <v>131</v>
      </c>
      <c r="C617" s="73" t="s">
        <v>132</v>
      </c>
      <c r="D617" s="74" t="str">
        <f t="shared" si="19"/>
        <v>mar/2016</v>
      </c>
      <c r="E617" s="53">
        <v>42457</v>
      </c>
      <c r="F617" s="75">
        <v>484053</v>
      </c>
      <c r="G617" s="72"/>
      <c r="H617" s="49" t="s">
        <v>677</v>
      </c>
      <c r="I617" s="49" t="s">
        <v>127</v>
      </c>
      <c r="J617" s="76">
        <v>-1370.06</v>
      </c>
      <c r="K617" s="83" t="str">
        <f>IFERROR(IFERROR(VLOOKUP(I617,'DE-PARA'!B:D,3,0),VLOOKUP(I617,'DE-PARA'!C:D,2,0)),"NÃO ENCONTRADO")</f>
        <v>Pessoal</v>
      </c>
      <c r="L617" s="50" t="str">
        <f>VLOOKUP(K617,'Base -Receita-Despesa'!$B:$P,1,FALSE)</f>
        <v>Pessoal</v>
      </c>
    </row>
    <row r="618" spans="1:12" ht="15" customHeight="1" x14ac:dyDescent="0.3">
      <c r="A618" s="82" t="str">
        <f t="shared" si="18"/>
        <v>2016</v>
      </c>
      <c r="B618" s="72" t="s">
        <v>131</v>
      </c>
      <c r="C618" s="73" t="s">
        <v>132</v>
      </c>
      <c r="D618" s="74" t="str">
        <f t="shared" si="19"/>
        <v>mar/2016</v>
      </c>
      <c r="E618" s="53">
        <v>42457</v>
      </c>
      <c r="F618" s="75">
        <v>55250</v>
      </c>
      <c r="G618" s="72"/>
      <c r="H618" s="49" t="s">
        <v>678</v>
      </c>
      <c r="I618" s="49" t="s">
        <v>110</v>
      </c>
      <c r="J618" s="76">
        <v>-598</v>
      </c>
      <c r="K618" s="83" t="str">
        <f>IFERROR(IFERROR(VLOOKUP(I618,'DE-PARA'!B:D,3,0),VLOOKUP(I618,'DE-PARA'!C:D,2,0)),"NÃO ENCONTRADO")</f>
        <v>Serviços</v>
      </c>
      <c r="L618" s="50" t="str">
        <f>VLOOKUP(K618,'Base -Receita-Despesa'!$B:$P,1,FALSE)</f>
        <v>Serviços</v>
      </c>
    </row>
    <row r="619" spans="1:12" ht="15" customHeight="1" x14ac:dyDescent="0.3">
      <c r="A619" s="82" t="str">
        <f t="shared" si="18"/>
        <v>2016</v>
      </c>
      <c r="B619" s="72" t="s">
        <v>131</v>
      </c>
      <c r="C619" s="73" t="s">
        <v>132</v>
      </c>
      <c r="D619" s="74" t="str">
        <f t="shared" si="19"/>
        <v>mar/2016</v>
      </c>
      <c r="E619" s="53">
        <v>42457</v>
      </c>
      <c r="F619" s="75">
        <v>486540</v>
      </c>
      <c r="G619" s="72"/>
      <c r="H619" s="49" t="s">
        <v>679</v>
      </c>
      <c r="I619" s="49" t="s">
        <v>127</v>
      </c>
      <c r="J619" s="76">
        <v>-9126.1299999999992</v>
      </c>
      <c r="K619" s="83" t="str">
        <f>IFERROR(IFERROR(VLOOKUP(I619,'DE-PARA'!B:D,3,0),VLOOKUP(I619,'DE-PARA'!C:D,2,0)),"NÃO ENCONTRADO")</f>
        <v>Pessoal</v>
      </c>
      <c r="L619" s="50" t="str">
        <f>VLOOKUP(K619,'Base -Receita-Despesa'!$B:$P,1,FALSE)</f>
        <v>Pessoal</v>
      </c>
    </row>
    <row r="620" spans="1:12" ht="15" customHeight="1" x14ac:dyDescent="0.3">
      <c r="A620" s="82" t="str">
        <f t="shared" si="18"/>
        <v>2016</v>
      </c>
      <c r="B620" s="72" t="s">
        <v>131</v>
      </c>
      <c r="C620" s="73" t="s">
        <v>132</v>
      </c>
      <c r="D620" s="74" t="str">
        <f t="shared" si="19"/>
        <v>mar/2016</v>
      </c>
      <c r="E620" s="53">
        <v>42457</v>
      </c>
      <c r="F620" s="75">
        <v>854440</v>
      </c>
      <c r="G620" s="72"/>
      <c r="H620" s="49" t="s">
        <v>187</v>
      </c>
      <c r="I620" s="49" t="s">
        <v>159</v>
      </c>
      <c r="J620" s="76">
        <v>-72.89</v>
      </c>
      <c r="K620" s="83" t="str">
        <f>IFERROR(IFERROR(VLOOKUP(I620,'DE-PARA'!B:D,3,0),VLOOKUP(I620,'DE-PARA'!C:D,2,0)),"NÃO ENCONTRADO")</f>
        <v>Materiais</v>
      </c>
      <c r="L620" s="50" t="str">
        <f>VLOOKUP(K620,'Base -Receita-Despesa'!$B:$P,1,FALSE)</f>
        <v>Materiais</v>
      </c>
    </row>
    <row r="621" spans="1:12" ht="15" customHeight="1" x14ac:dyDescent="0.3">
      <c r="A621" s="82" t="str">
        <f t="shared" si="18"/>
        <v>2016</v>
      </c>
      <c r="B621" s="72" t="s">
        <v>131</v>
      </c>
      <c r="C621" s="73" t="s">
        <v>132</v>
      </c>
      <c r="D621" s="74" t="str">
        <f t="shared" si="19"/>
        <v>mar/2016</v>
      </c>
      <c r="E621" s="53">
        <v>42458</v>
      </c>
      <c r="F621" s="75">
        <v>103829</v>
      </c>
      <c r="G621" s="72"/>
      <c r="H621" s="49" t="s">
        <v>680</v>
      </c>
      <c r="I621" s="49" t="s">
        <v>127</v>
      </c>
      <c r="J621" s="76">
        <v>-3471.04</v>
      </c>
      <c r="K621" s="83" t="str">
        <f>IFERROR(IFERROR(VLOOKUP(I621,'DE-PARA'!B:D,3,0),VLOOKUP(I621,'DE-PARA'!C:D,2,0)),"NÃO ENCONTRADO")</f>
        <v>Pessoal</v>
      </c>
      <c r="L621" s="50" t="str">
        <f>VLOOKUP(K621,'Base -Receita-Despesa'!$B:$P,1,FALSE)</f>
        <v>Pessoal</v>
      </c>
    </row>
    <row r="622" spans="1:12" ht="15" customHeight="1" x14ac:dyDescent="0.3">
      <c r="A622" s="82" t="str">
        <f t="shared" si="18"/>
        <v>2016</v>
      </c>
      <c r="B622" s="72" t="s">
        <v>131</v>
      </c>
      <c r="C622" s="73" t="s">
        <v>132</v>
      </c>
      <c r="D622" s="74" t="str">
        <f t="shared" si="19"/>
        <v>mar/2016</v>
      </c>
      <c r="E622" s="53">
        <v>42458</v>
      </c>
      <c r="F622" s="75">
        <v>22178</v>
      </c>
      <c r="G622" s="72"/>
      <c r="H622" s="49" t="s">
        <v>681</v>
      </c>
      <c r="I622" s="49" t="s">
        <v>127</v>
      </c>
      <c r="J622" s="76">
        <v>-3750.13</v>
      </c>
      <c r="K622" s="83" t="str">
        <f>IFERROR(IFERROR(VLOOKUP(I622,'DE-PARA'!B:D,3,0),VLOOKUP(I622,'DE-PARA'!C:D,2,0)),"NÃO ENCONTRADO")</f>
        <v>Pessoal</v>
      </c>
      <c r="L622" s="50" t="str">
        <f>VLOOKUP(K622,'Base -Receita-Despesa'!$B:$P,1,FALSE)</f>
        <v>Pessoal</v>
      </c>
    </row>
    <row r="623" spans="1:12" ht="15" customHeight="1" x14ac:dyDescent="0.3">
      <c r="A623" s="82" t="str">
        <f t="shared" si="18"/>
        <v>2016</v>
      </c>
      <c r="B623" s="72" t="s">
        <v>131</v>
      </c>
      <c r="C623" s="73" t="s">
        <v>132</v>
      </c>
      <c r="D623" s="74" t="str">
        <f t="shared" si="19"/>
        <v>mar/2016</v>
      </c>
      <c r="E623" s="53">
        <v>42458</v>
      </c>
      <c r="F623" s="75">
        <v>22586</v>
      </c>
      <c r="G623" s="72"/>
      <c r="H623" s="49" t="s">
        <v>682</v>
      </c>
      <c r="I623" s="49" t="s">
        <v>127</v>
      </c>
      <c r="J623" s="76">
        <v>-3702.82</v>
      </c>
      <c r="K623" s="83" t="str">
        <f>IFERROR(IFERROR(VLOOKUP(I623,'DE-PARA'!B:D,3,0),VLOOKUP(I623,'DE-PARA'!C:D,2,0)),"NÃO ENCONTRADO")</f>
        <v>Pessoal</v>
      </c>
      <c r="L623" s="50" t="str">
        <f>VLOOKUP(K623,'Base -Receita-Despesa'!$B:$P,1,FALSE)</f>
        <v>Pessoal</v>
      </c>
    </row>
    <row r="624" spans="1:12" ht="15" customHeight="1" x14ac:dyDescent="0.3">
      <c r="A624" s="82" t="str">
        <f t="shared" si="18"/>
        <v>2016</v>
      </c>
      <c r="B624" s="72" t="s">
        <v>131</v>
      </c>
      <c r="C624" s="73" t="s">
        <v>132</v>
      </c>
      <c r="D624" s="74" t="str">
        <f t="shared" si="19"/>
        <v>mar/2016</v>
      </c>
      <c r="E624" s="53">
        <v>42458</v>
      </c>
      <c r="F624" s="75">
        <v>23010</v>
      </c>
      <c r="G624" s="72"/>
      <c r="H624" s="49" t="s">
        <v>683</v>
      </c>
      <c r="I624" s="49" t="s">
        <v>110</v>
      </c>
      <c r="J624" s="76">
        <v>-4590.93</v>
      </c>
      <c r="K624" s="83" t="str">
        <f>IFERROR(IFERROR(VLOOKUP(I624,'DE-PARA'!B:D,3,0),VLOOKUP(I624,'DE-PARA'!C:D,2,0)),"NÃO ENCONTRADO")</f>
        <v>Serviços</v>
      </c>
      <c r="L624" s="50" t="str">
        <f>VLOOKUP(K624,'Base -Receita-Despesa'!$B:$P,1,FALSE)</f>
        <v>Serviços</v>
      </c>
    </row>
    <row r="625" spans="1:12" ht="15" customHeight="1" x14ac:dyDescent="0.3">
      <c r="A625" s="82" t="str">
        <f t="shared" si="18"/>
        <v>2016</v>
      </c>
      <c r="B625" s="72" t="s">
        <v>131</v>
      </c>
      <c r="C625" s="73" t="s">
        <v>132</v>
      </c>
      <c r="D625" s="74" t="str">
        <f t="shared" si="19"/>
        <v>mar/2016</v>
      </c>
      <c r="E625" s="53">
        <v>42458</v>
      </c>
      <c r="F625" s="75">
        <v>23460</v>
      </c>
      <c r="G625" s="72"/>
      <c r="H625" s="49" t="s">
        <v>684</v>
      </c>
      <c r="I625" s="49" t="s">
        <v>127</v>
      </c>
      <c r="J625" s="76">
        <v>-2324.6999999999998</v>
      </c>
      <c r="K625" s="83" t="str">
        <f>IFERROR(IFERROR(VLOOKUP(I625,'DE-PARA'!B:D,3,0),VLOOKUP(I625,'DE-PARA'!C:D,2,0)),"NÃO ENCONTRADO")</f>
        <v>Pessoal</v>
      </c>
      <c r="L625" s="50" t="str">
        <f>VLOOKUP(K625,'Base -Receita-Despesa'!$B:$P,1,FALSE)</f>
        <v>Pessoal</v>
      </c>
    </row>
    <row r="626" spans="1:12" ht="15" customHeight="1" x14ac:dyDescent="0.3">
      <c r="A626" s="82" t="str">
        <f t="shared" si="18"/>
        <v>2016</v>
      </c>
      <c r="B626" s="72" t="s">
        <v>131</v>
      </c>
      <c r="C626" s="73" t="s">
        <v>132</v>
      </c>
      <c r="D626" s="74" t="str">
        <f t="shared" si="19"/>
        <v>mar/2016</v>
      </c>
      <c r="E626" s="53">
        <v>42459</v>
      </c>
      <c r="F626" s="75">
        <v>125687</v>
      </c>
      <c r="G626" s="72"/>
      <c r="H626" s="49" t="s">
        <v>328</v>
      </c>
      <c r="I626" s="49" t="s">
        <v>159</v>
      </c>
      <c r="J626" s="76">
        <v>2902.84</v>
      </c>
      <c r="K626" s="83" t="str">
        <f>IFERROR(IFERROR(VLOOKUP(I626,'DE-PARA'!B:D,3,0),VLOOKUP(I626,'DE-PARA'!C:D,2,0)),"NÃO ENCONTRADO")</f>
        <v>Materiais</v>
      </c>
      <c r="L626" s="50" t="str">
        <f>VLOOKUP(K626,'Base -Receita-Despesa'!$B:$P,1,FALSE)</f>
        <v>Materiais</v>
      </c>
    </row>
    <row r="627" spans="1:12" ht="15" customHeight="1" x14ac:dyDescent="0.3">
      <c r="A627" s="82" t="str">
        <f t="shared" si="18"/>
        <v>2016</v>
      </c>
      <c r="B627" s="72" t="s">
        <v>131</v>
      </c>
      <c r="C627" s="73" t="s">
        <v>132</v>
      </c>
      <c r="D627" s="74" t="str">
        <f t="shared" si="19"/>
        <v>mar/2016</v>
      </c>
      <c r="E627" s="53">
        <v>42459</v>
      </c>
      <c r="F627" s="75">
        <v>125687</v>
      </c>
      <c r="G627" s="72"/>
      <c r="H627" s="49" t="s">
        <v>328</v>
      </c>
      <c r="I627" s="49" t="s">
        <v>159</v>
      </c>
      <c r="J627" s="76">
        <v>-2902.84</v>
      </c>
      <c r="K627" s="83" t="str">
        <f>IFERROR(IFERROR(VLOOKUP(I627,'DE-PARA'!B:D,3,0),VLOOKUP(I627,'DE-PARA'!C:D,2,0)),"NÃO ENCONTRADO")</f>
        <v>Materiais</v>
      </c>
      <c r="L627" s="50" t="str">
        <f>VLOOKUP(K627,'Base -Receita-Despesa'!$B:$P,1,FALSE)</f>
        <v>Materiais</v>
      </c>
    </row>
    <row r="628" spans="1:12" ht="15" customHeight="1" x14ac:dyDescent="0.3">
      <c r="A628" s="82" t="str">
        <f t="shared" si="18"/>
        <v>2016</v>
      </c>
      <c r="B628" s="72" t="s">
        <v>131</v>
      </c>
      <c r="C628" s="73" t="s">
        <v>132</v>
      </c>
      <c r="D628" s="74" t="str">
        <f t="shared" si="19"/>
        <v>mar/2016</v>
      </c>
      <c r="E628" s="53">
        <v>42459</v>
      </c>
      <c r="F628" s="75">
        <v>125428</v>
      </c>
      <c r="G628" s="72"/>
      <c r="H628" s="49" t="s">
        <v>368</v>
      </c>
      <c r="I628" s="49" t="s">
        <v>159</v>
      </c>
      <c r="J628" s="76">
        <v>-1099</v>
      </c>
      <c r="K628" s="83" t="str">
        <f>IFERROR(IFERROR(VLOOKUP(I628,'DE-PARA'!B:D,3,0),VLOOKUP(I628,'DE-PARA'!C:D,2,0)),"NÃO ENCONTRADO")</f>
        <v>Materiais</v>
      </c>
      <c r="L628" s="50" t="str">
        <f>VLOOKUP(K628,'Base -Receita-Despesa'!$B:$P,1,FALSE)</f>
        <v>Materiais</v>
      </c>
    </row>
    <row r="629" spans="1:12" ht="15" customHeight="1" x14ac:dyDescent="0.3">
      <c r="A629" s="82" t="str">
        <f t="shared" si="18"/>
        <v>2016</v>
      </c>
      <c r="B629" s="72" t="s">
        <v>131</v>
      </c>
      <c r="C629" s="73" t="s">
        <v>132</v>
      </c>
      <c r="D629" s="74" t="str">
        <f t="shared" si="19"/>
        <v>mar/2016</v>
      </c>
      <c r="E629" s="53">
        <v>42459</v>
      </c>
      <c r="F629" s="75">
        <v>126289</v>
      </c>
      <c r="G629" s="72"/>
      <c r="H629" s="49" t="s">
        <v>203</v>
      </c>
      <c r="I629" s="49" t="s">
        <v>204</v>
      </c>
      <c r="J629" s="76">
        <v>-7000</v>
      </c>
      <c r="K629" s="83" t="str">
        <f>IFERROR(IFERROR(VLOOKUP(I629,'DE-PARA'!B:D,3,0),VLOOKUP(I629,'DE-PARA'!C:D,2,0)),"NÃO ENCONTRADO")</f>
        <v>Serviços</v>
      </c>
      <c r="L629" s="50" t="str">
        <f>VLOOKUP(K629,'Base -Receita-Despesa'!$B:$P,1,FALSE)</f>
        <v>Serviços</v>
      </c>
    </row>
    <row r="630" spans="1:12" ht="15" customHeight="1" x14ac:dyDescent="0.3">
      <c r="A630" s="82" t="str">
        <f t="shared" si="18"/>
        <v>2016</v>
      </c>
      <c r="B630" s="72" t="s">
        <v>131</v>
      </c>
      <c r="C630" s="73" t="s">
        <v>132</v>
      </c>
      <c r="D630" s="74" t="str">
        <f t="shared" si="19"/>
        <v>mar/2016</v>
      </c>
      <c r="E630" s="53">
        <v>42459</v>
      </c>
      <c r="F630" s="75">
        <v>742008</v>
      </c>
      <c r="G630" s="72"/>
      <c r="H630" s="49" t="s">
        <v>282</v>
      </c>
      <c r="I630" s="49" t="s">
        <v>110</v>
      </c>
      <c r="J630" s="76">
        <v>-1302.42</v>
      </c>
      <c r="K630" s="83" t="str">
        <f>IFERROR(IFERROR(VLOOKUP(I630,'DE-PARA'!B:D,3,0),VLOOKUP(I630,'DE-PARA'!C:D,2,0)),"NÃO ENCONTRADO")</f>
        <v>Serviços</v>
      </c>
      <c r="L630" s="50" t="str">
        <f>VLOOKUP(K630,'Base -Receita-Despesa'!$B:$P,1,FALSE)</f>
        <v>Serviços</v>
      </c>
    </row>
    <row r="631" spans="1:12" ht="15" customHeight="1" x14ac:dyDescent="0.3">
      <c r="A631" s="82" t="str">
        <f t="shared" si="18"/>
        <v>2016</v>
      </c>
      <c r="B631" s="72" t="s">
        <v>131</v>
      </c>
      <c r="C631" s="73" t="s">
        <v>132</v>
      </c>
      <c r="D631" s="74" t="str">
        <f t="shared" si="19"/>
        <v>mar/2016</v>
      </c>
      <c r="E631" s="53">
        <v>42459</v>
      </c>
      <c r="F631" s="75">
        <v>765407</v>
      </c>
      <c r="G631" s="72"/>
      <c r="H631" s="49" t="s">
        <v>235</v>
      </c>
      <c r="I631" s="49" t="s">
        <v>204</v>
      </c>
      <c r="J631" s="76">
        <v>-3892.23</v>
      </c>
      <c r="K631" s="83" t="str">
        <f>IFERROR(IFERROR(VLOOKUP(I631,'DE-PARA'!B:D,3,0),VLOOKUP(I631,'DE-PARA'!C:D,2,0)),"NÃO ENCONTRADO")</f>
        <v>Serviços</v>
      </c>
      <c r="L631" s="50" t="str">
        <f>VLOOKUP(K631,'Base -Receita-Despesa'!$B:$P,1,FALSE)</f>
        <v>Serviços</v>
      </c>
    </row>
    <row r="632" spans="1:12" ht="15" customHeight="1" x14ac:dyDescent="0.3">
      <c r="A632" s="82" t="str">
        <f t="shared" si="18"/>
        <v>2016</v>
      </c>
      <c r="B632" s="72" t="s">
        <v>131</v>
      </c>
      <c r="C632" s="73" t="s">
        <v>132</v>
      </c>
      <c r="D632" s="74" t="str">
        <f t="shared" si="19"/>
        <v>mar/2016</v>
      </c>
      <c r="E632" s="53">
        <v>42459</v>
      </c>
      <c r="F632" s="75">
        <v>768016</v>
      </c>
      <c r="G632" s="72"/>
      <c r="H632" s="49" t="s">
        <v>588</v>
      </c>
      <c r="I632" s="49" t="s">
        <v>159</v>
      </c>
      <c r="J632" s="76">
        <v>-2074.2600000000002</v>
      </c>
      <c r="K632" s="83" t="str">
        <f>IFERROR(IFERROR(VLOOKUP(I632,'DE-PARA'!B:D,3,0),VLOOKUP(I632,'DE-PARA'!C:D,2,0)),"NÃO ENCONTRADO")</f>
        <v>Materiais</v>
      </c>
      <c r="L632" s="50" t="str">
        <f>VLOOKUP(K632,'Base -Receita-Despesa'!$B:$P,1,FALSE)</f>
        <v>Materiais</v>
      </c>
    </row>
    <row r="633" spans="1:12" ht="15" customHeight="1" x14ac:dyDescent="0.3">
      <c r="A633" s="82" t="str">
        <f t="shared" si="18"/>
        <v>2016</v>
      </c>
      <c r="B633" s="72" t="s">
        <v>131</v>
      </c>
      <c r="C633" s="73" t="s">
        <v>132</v>
      </c>
      <c r="D633" s="74" t="str">
        <f t="shared" si="19"/>
        <v>mar/2016</v>
      </c>
      <c r="E633" s="53">
        <v>42459</v>
      </c>
      <c r="F633" s="75">
        <v>769753</v>
      </c>
      <c r="G633" s="72"/>
      <c r="H633" s="49" t="s">
        <v>588</v>
      </c>
      <c r="I633" s="49" t="s">
        <v>159</v>
      </c>
      <c r="J633" s="76">
        <v>-4023.97</v>
      </c>
      <c r="K633" s="83" t="str">
        <f>IFERROR(IFERROR(VLOOKUP(I633,'DE-PARA'!B:D,3,0),VLOOKUP(I633,'DE-PARA'!C:D,2,0)),"NÃO ENCONTRADO")</f>
        <v>Materiais</v>
      </c>
      <c r="L633" s="50" t="str">
        <f>VLOOKUP(K633,'Base -Receita-Despesa'!$B:$P,1,FALSE)</f>
        <v>Materiais</v>
      </c>
    </row>
    <row r="634" spans="1:12" ht="15" customHeight="1" x14ac:dyDescent="0.3">
      <c r="A634" s="82" t="str">
        <f t="shared" si="18"/>
        <v>2016</v>
      </c>
      <c r="B634" s="72" t="s">
        <v>131</v>
      </c>
      <c r="C634" s="73" t="s">
        <v>132</v>
      </c>
      <c r="D634" s="74" t="str">
        <f t="shared" si="19"/>
        <v>mar/2016</v>
      </c>
      <c r="E634" s="53">
        <v>42459</v>
      </c>
      <c r="F634" s="75">
        <v>126062</v>
      </c>
      <c r="G634" s="72"/>
      <c r="H634" s="49" t="s">
        <v>190</v>
      </c>
      <c r="I634" s="49" t="s">
        <v>191</v>
      </c>
      <c r="J634" s="76">
        <v>-3190.9</v>
      </c>
      <c r="K634" s="83" t="str">
        <f>IFERROR(IFERROR(VLOOKUP(I634,'DE-PARA'!B:D,3,0),VLOOKUP(I634,'DE-PARA'!C:D,2,0)),"NÃO ENCONTRADO")</f>
        <v>Serviços</v>
      </c>
      <c r="L634" s="50" t="str">
        <f>VLOOKUP(K634,'Base -Receita-Despesa'!$B:$P,1,FALSE)</f>
        <v>Serviços</v>
      </c>
    </row>
    <row r="635" spans="1:12" ht="15" customHeight="1" x14ac:dyDescent="0.3">
      <c r="A635" s="82" t="str">
        <f t="shared" si="18"/>
        <v>2016</v>
      </c>
      <c r="B635" s="72" t="s">
        <v>131</v>
      </c>
      <c r="C635" s="73" t="s">
        <v>132</v>
      </c>
      <c r="D635" s="74" t="str">
        <f t="shared" si="19"/>
        <v>mar/2016</v>
      </c>
      <c r="E635" s="53">
        <v>42460</v>
      </c>
      <c r="F635" s="75">
        <v>310952</v>
      </c>
      <c r="G635" s="72"/>
      <c r="H635" s="49" t="s">
        <v>328</v>
      </c>
      <c r="I635" s="49" t="s">
        <v>159</v>
      </c>
      <c r="J635" s="76">
        <v>-2902.84</v>
      </c>
      <c r="K635" s="83" t="str">
        <f>IFERROR(IFERROR(VLOOKUP(I635,'DE-PARA'!B:D,3,0),VLOOKUP(I635,'DE-PARA'!C:D,2,0)),"NÃO ENCONTRADO")</f>
        <v>Materiais</v>
      </c>
      <c r="L635" s="50" t="str">
        <f>VLOOKUP(K635,'Base -Receita-Despesa'!$B:$P,1,FALSE)</f>
        <v>Materiais</v>
      </c>
    </row>
    <row r="636" spans="1:12" ht="15" customHeight="1" x14ac:dyDescent="0.3">
      <c r="A636" s="82" t="str">
        <f t="shared" si="18"/>
        <v>2016</v>
      </c>
      <c r="B636" s="72" t="s">
        <v>249</v>
      </c>
      <c r="C636" s="73" t="s">
        <v>132</v>
      </c>
      <c r="D636" s="74" t="str">
        <f t="shared" si="19"/>
        <v>mar/2016</v>
      </c>
      <c r="E636" s="53">
        <v>42460</v>
      </c>
      <c r="F636" s="75">
        <v>4204</v>
      </c>
      <c r="G636" s="72"/>
      <c r="H636" s="49" t="s">
        <v>330</v>
      </c>
      <c r="I636" s="49" t="s">
        <v>1497</v>
      </c>
      <c r="J636" s="76">
        <v>199508.24</v>
      </c>
      <c r="K636" s="83" t="str">
        <f>IFERROR(IFERROR(VLOOKUP(I636,'DE-PARA'!B:D,3,0),VLOOKUP(I636,'DE-PARA'!C:D,2,0)),"NÃO ENCONTRADO")</f>
        <v>Repasses Contrato de Gestão</v>
      </c>
      <c r="L636" s="50" t="str">
        <f>VLOOKUP(K636,'Base -Receita-Despesa'!$B:$P,1,FALSE)</f>
        <v>Repasses Contrato de Gestão</v>
      </c>
    </row>
    <row r="637" spans="1:12" ht="15" customHeight="1" x14ac:dyDescent="0.3">
      <c r="A637" s="82" t="str">
        <f t="shared" si="18"/>
        <v>2016</v>
      </c>
      <c r="B637" s="72" t="s">
        <v>131</v>
      </c>
      <c r="C637" s="73" t="s">
        <v>132</v>
      </c>
      <c r="D637" s="74" t="str">
        <f t="shared" si="19"/>
        <v>mar/2016</v>
      </c>
      <c r="E637" s="53">
        <v>42460</v>
      </c>
      <c r="F637" s="75">
        <v>311420</v>
      </c>
      <c r="G637" s="72"/>
      <c r="H637" s="49" t="s">
        <v>235</v>
      </c>
      <c r="I637" s="49" t="s">
        <v>204</v>
      </c>
      <c r="J637" s="76">
        <v>-2500</v>
      </c>
      <c r="K637" s="83" t="str">
        <f>IFERROR(IFERROR(VLOOKUP(I637,'DE-PARA'!B:D,3,0),VLOOKUP(I637,'DE-PARA'!C:D,2,0)),"NÃO ENCONTRADO")</f>
        <v>Serviços</v>
      </c>
      <c r="L637" s="50" t="str">
        <f>VLOOKUP(K637,'Base -Receita-Despesa'!$B:$P,1,FALSE)</f>
        <v>Serviços</v>
      </c>
    </row>
    <row r="638" spans="1:12" ht="15" customHeight="1" x14ac:dyDescent="0.3">
      <c r="A638" s="82" t="str">
        <f t="shared" si="18"/>
        <v>2016</v>
      </c>
      <c r="B638" s="72" t="s">
        <v>131</v>
      </c>
      <c r="C638" s="73" t="s">
        <v>132</v>
      </c>
      <c r="D638" s="74" t="str">
        <f t="shared" si="19"/>
        <v>mar/2016</v>
      </c>
      <c r="E638" s="53">
        <v>42460</v>
      </c>
      <c r="F638" s="75">
        <v>311433</v>
      </c>
      <c r="G638" s="72"/>
      <c r="H638" s="49" t="s">
        <v>235</v>
      </c>
      <c r="I638" s="49" t="s">
        <v>204</v>
      </c>
      <c r="J638" s="76">
        <v>-732.2</v>
      </c>
      <c r="K638" s="83" t="str">
        <f>IFERROR(IFERROR(VLOOKUP(I638,'DE-PARA'!B:D,3,0),VLOOKUP(I638,'DE-PARA'!C:D,2,0)),"NÃO ENCONTRADO")</f>
        <v>Serviços</v>
      </c>
      <c r="L638" s="50" t="str">
        <f>VLOOKUP(K638,'Base -Receita-Despesa'!$B:$P,1,FALSE)</f>
        <v>Serviços</v>
      </c>
    </row>
    <row r="639" spans="1:12" ht="15" customHeight="1" x14ac:dyDescent="0.3">
      <c r="A639" s="82" t="str">
        <f t="shared" si="18"/>
        <v>2016</v>
      </c>
      <c r="B639" s="72" t="s">
        <v>131</v>
      </c>
      <c r="C639" s="73" t="s">
        <v>132</v>
      </c>
      <c r="D639" s="74" t="str">
        <f t="shared" si="19"/>
        <v>mar/2016</v>
      </c>
      <c r="E639" s="53">
        <v>42460</v>
      </c>
      <c r="F639" s="75">
        <v>311418</v>
      </c>
      <c r="G639" s="72"/>
      <c r="H639" s="49" t="s">
        <v>588</v>
      </c>
      <c r="I639" s="49" t="s">
        <v>159</v>
      </c>
      <c r="J639" s="76">
        <v>-805.78</v>
      </c>
      <c r="K639" s="83" t="str">
        <f>IFERROR(IFERROR(VLOOKUP(I639,'DE-PARA'!B:D,3,0),VLOOKUP(I639,'DE-PARA'!C:D,2,0)),"NÃO ENCONTRADO")</f>
        <v>Materiais</v>
      </c>
      <c r="L639" s="50" t="str">
        <f>VLOOKUP(K639,'Base -Receita-Despesa'!$B:$P,1,FALSE)</f>
        <v>Materiais</v>
      </c>
    </row>
    <row r="640" spans="1:12" ht="15" customHeight="1" x14ac:dyDescent="0.3">
      <c r="A640" s="82" t="str">
        <f t="shared" si="18"/>
        <v>2016</v>
      </c>
      <c r="B640" s="72" t="s">
        <v>238</v>
      </c>
      <c r="C640" s="73" t="s">
        <v>132</v>
      </c>
      <c r="D640" s="74" t="str">
        <f t="shared" si="19"/>
        <v>mar/2016</v>
      </c>
      <c r="E640" s="53">
        <v>42460</v>
      </c>
      <c r="F640" s="75" t="s">
        <v>239</v>
      </c>
      <c r="G640" s="72"/>
      <c r="H640" s="49" t="s">
        <v>685</v>
      </c>
      <c r="I640" s="49" t="s">
        <v>240</v>
      </c>
      <c r="J640" s="76">
        <v>710.26</v>
      </c>
      <c r="K640" s="83" t="str">
        <f>IFERROR(IFERROR(VLOOKUP(I640,'DE-PARA'!B:D,3,0),VLOOKUP(I640,'DE-PARA'!C:D,2,0)),"NÃO ENCONTRADO")</f>
        <v>Rendimentos sobre Aplicações Financeiras</v>
      </c>
      <c r="L640" s="50" t="str">
        <f>VLOOKUP(K640,'Base -Receita-Despesa'!$B:$P,1,FALSE)</f>
        <v>Rendimentos sobre Aplicações Financeiras</v>
      </c>
    </row>
    <row r="641" spans="1:12" ht="15" customHeight="1" x14ac:dyDescent="0.3">
      <c r="A641" s="82" t="str">
        <f t="shared" si="18"/>
        <v>2016</v>
      </c>
      <c r="B641" s="72" t="s">
        <v>131</v>
      </c>
      <c r="C641" s="73" t="s">
        <v>132</v>
      </c>
      <c r="D641" s="74" t="str">
        <f t="shared" si="19"/>
        <v>abr/2016</v>
      </c>
      <c r="E641" s="53">
        <v>42461</v>
      </c>
      <c r="F641" s="75" t="s">
        <v>243</v>
      </c>
      <c r="G641" s="72"/>
      <c r="H641" s="49" t="s">
        <v>686</v>
      </c>
      <c r="I641" s="49" t="s">
        <v>124</v>
      </c>
      <c r="J641" s="76">
        <v>-1599.37</v>
      </c>
      <c r="K641" s="83" t="str">
        <f>IFERROR(IFERROR(VLOOKUP(I641,'DE-PARA'!B:D,3,0),VLOOKUP(I641,'DE-PARA'!C:D,2,0)),"NÃO ENCONTRADO")</f>
        <v>Rescisões Trabalhistas</v>
      </c>
      <c r="L641" s="50" t="str">
        <f>VLOOKUP(K641,'Base -Receita-Despesa'!$B:$P,1,FALSE)</f>
        <v>Rescisões Trabalhistas</v>
      </c>
    </row>
    <row r="642" spans="1:12" ht="15" customHeight="1" x14ac:dyDescent="0.3">
      <c r="A642" s="82" t="str">
        <f t="shared" si="18"/>
        <v>2016</v>
      </c>
      <c r="B642" s="72" t="s">
        <v>131</v>
      </c>
      <c r="C642" s="73" t="s">
        <v>132</v>
      </c>
      <c r="D642" s="74" t="str">
        <f t="shared" si="19"/>
        <v>abr/2016</v>
      </c>
      <c r="E642" s="53">
        <v>42461</v>
      </c>
      <c r="F642" s="75">
        <v>431890</v>
      </c>
      <c r="G642" s="72"/>
      <c r="H642" s="49" t="s">
        <v>414</v>
      </c>
      <c r="I642" s="49" t="s">
        <v>159</v>
      </c>
      <c r="J642" s="76">
        <v>-560.63</v>
      </c>
      <c r="K642" s="83" t="str">
        <f>IFERROR(IFERROR(VLOOKUP(I642,'DE-PARA'!B:D,3,0),VLOOKUP(I642,'DE-PARA'!C:D,2,0)),"NÃO ENCONTRADO")</f>
        <v>Materiais</v>
      </c>
      <c r="L642" s="50" t="str">
        <f>VLOOKUP(K642,'Base -Receita-Despesa'!$B:$P,1,FALSE)</f>
        <v>Materiais</v>
      </c>
    </row>
    <row r="643" spans="1:12" ht="15" customHeight="1" x14ac:dyDescent="0.3">
      <c r="A643" s="82" t="str">
        <f t="shared" si="18"/>
        <v>2016</v>
      </c>
      <c r="B643" s="72" t="s">
        <v>131</v>
      </c>
      <c r="C643" s="73" t="s">
        <v>132</v>
      </c>
      <c r="D643" s="74" t="str">
        <f t="shared" si="19"/>
        <v>abr/2016</v>
      </c>
      <c r="E643" s="53">
        <v>42461</v>
      </c>
      <c r="F643" s="75">
        <v>149239</v>
      </c>
      <c r="G643" s="72"/>
      <c r="H643" s="49" t="s">
        <v>140</v>
      </c>
      <c r="I643" s="49" t="s">
        <v>138</v>
      </c>
      <c r="J643" s="76">
        <v>-561.6</v>
      </c>
      <c r="K643" s="83" t="str">
        <f>IFERROR(IFERROR(VLOOKUP(I643,'DE-PARA'!B:D,3,0),VLOOKUP(I643,'DE-PARA'!C:D,2,0)),"NÃO ENCONTRADO")</f>
        <v>Serviços</v>
      </c>
      <c r="L643" s="50" t="str">
        <f>VLOOKUP(K643,'Base -Receita-Despesa'!$B:$P,1,FALSE)</f>
        <v>Serviços</v>
      </c>
    </row>
    <row r="644" spans="1:12" ht="15" customHeight="1" x14ac:dyDescent="0.3">
      <c r="A644" s="82" t="str">
        <f t="shared" ref="A644:A707" si="20">IF(K644="NÃO ENCONTRADO",0,RIGHT(D644,4))</f>
        <v>2016</v>
      </c>
      <c r="B644" s="72" t="s">
        <v>131</v>
      </c>
      <c r="C644" s="73" t="s">
        <v>132</v>
      </c>
      <c r="D644" s="74" t="str">
        <f t="shared" ref="D644:D707" si="21">TEXT(E644,"mmm/aaaa")</f>
        <v>abr/2016</v>
      </c>
      <c r="E644" s="53">
        <v>42461</v>
      </c>
      <c r="F644" s="75">
        <v>149535</v>
      </c>
      <c r="G644" s="72"/>
      <c r="H644" s="49" t="s">
        <v>220</v>
      </c>
      <c r="I644" s="49" t="s">
        <v>180</v>
      </c>
      <c r="J644" s="76">
        <v>-4500</v>
      </c>
      <c r="K644" s="83" t="str">
        <f>IFERROR(IFERROR(VLOOKUP(I644,'DE-PARA'!B:D,3,0),VLOOKUP(I644,'DE-PARA'!C:D,2,0)),"NÃO ENCONTRADO")</f>
        <v>Serviços</v>
      </c>
      <c r="L644" s="50" t="str">
        <f>VLOOKUP(K644,'Base -Receita-Despesa'!$B:$P,1,FALSE)</f>
        <v>Serviços</v>
      </c>
    </row>
    <row r="645" spans="1:12" ht="15" customHeight="1" x14ac:dyDescent="0.3">
      <c r="A645" s="82" t="str">
        <f t="shared" si="20"/>
        <v>2016</v>
      </c>
      <c r="B645" s="72" t="s">
        <v>131</v>
      </c>
      <c r="C645" s="73" t="s">
        <v>132</v>
      </c>
      <c r="D645" s="74" t="str">
        <f t="shared" si="21"/>
        <v>abr/2016</v>
      </c>
      <c r="E645" s="53">
        <v>42461</v>
      </c>
      <c r="F645" s="75">
        <v>520463</v>
      </c>
      <c r="G645" s="72"/>
      <c r="H645" s="49" t="s">
        <v>687</v>
      </c>
      <c r="I645" s="49" t="s">
        <v>124</v>
      </c>
      <c r="J645" s="76">
        <v>-119.9</v>
      </c>
      <c r="K645" s="83" t="str">
        <f>IFERROR(IFERROR(VLOOKUP(I645,'DE-PARA'!B:D,3,0),VLOOKUP(I645,'DE-PARA'!C:D,2,0)),"NÃO ENCONTRADO")</f>
        <v>Rescisões Trabalhistas</v>
      </c>
      <c r="L645" s="50" t="str">
        <f>VLOOKUP(K645,'Base -Receita-Despesa'!$B:$P,1,FALSE)</f>
        <v>Rescisões Trabalhistas</v>
      </c>
    </row>
    <row r="646" spans="1:12" ht="15" customHeight="1" x14ac:dyDescent="0.3">
      <c r="A646" s="82" t="str">
        <f t="shared" si="20"/>
        <v>2016</v>
      </c>
      <c r="B646" s="72" t="s">
        <v>131</v>
      </c>
      <c r="C646" s="73" t="s">
        <v>132</v>
      </c>
      <c r="D646" s="74" t="str">
        <f t="shared" si="21"/>
        <v>abr/2016</v>
      </c>
      <c r="E646" s="53">
        <v>42461</v>
      </c>
      <c r="F646" s="75">
        <v>520513</v>
      </c>
      <c r="G646" s="72"/>
      <c r="H646" s="49" t="s">
        <v>688</v>
      </c>
      <c r="I646" s="49" t="s">
        <v>124</v>
      </c>
      <c r="J646" s="76">
        <v>-109.92</v>
      </c>
      <c r="K646" s="83" t="str">
        <f>IFERROR(IFERROR(VLOOKUP(I646,'DE-PARA'!B:D,3,0),VLOOKUP(I646,'DE-PARA'!C:D,2,0)),"NÃO ENCONTRADO")</f>
        <v>Rescisões Trabalhistas</v>
      </c>
      <c r="L646" s="50" t="str">
        <f>VLOOKUP(K646,'Base -Receita-Despesa'!$B:$P,1,FALSE)</f>
        <v>Rescisões Trabalhistas</v>
      </c>
    </row>
    <row r="647" spans="1:12" ht="15" customHeight="1" x14ac:dyDescent="0.3">
      <c r="A647" s="82" t="str">
        <f t="shared" si="20"/>
        <v>2016</v>
      </c>
      <c r="B647" s="72" t="s">
        <v>131</v>
      </c>
      <c r="C647" s="73" t="s">
        <v>132</v>
      </c>
      <c r="D647" s="74" t="str">
        <f t="shared" si="21"/>
        <v>abr/2016</v>
      </c>
      <c r="E647" s="53">
        <v>42461</v>
      </c>
      <c r="F647" s="75">
        <v>150119</v>
      </c>
      <c r="G647" s="72"/>
      <c r="H647" s="49" t="s">
        <v>165</v>
      </c>
      <c r="I647" s="49" t="s">
        <v>113</v>
      </c>
      <c r="J647" s="76">
        <v>-78950.61</v>
      </c>
      <c r="K647" s="83" t="str">
        <f>IFERROR(IFERROR(VLOOKUP(I647,'DE-PARA'!B:D,3,0),VLOOKUP(I647,'DE-PARA'!C:D,2,0)),"NÃO ENCONTRADO")</f>
        <v>Serviços</v>
      </c>
      <c r="L647" s="50" t="str">
        <f>VLOOKUP(K647,'Base -Receita-Despesa'!$B:$P,1,FALSE)</f>
        <v>Serviços</v>
      </c>
    </row>
    <row r="648" spans="1:12" ht="15" customHeight="1" x14ac:dyDescent="0.3">
      <c r="A648" s="82" t="str">
        <f t="shared" si="20"/>
        <v>2016</v>
      </c>
      <c r="B648" s="72" t="s">
        <v>131</v>
      </c>
      <c r="C648" s="73" t="s">
        <v>132</v>
      </c>
      <c r="D648" s="74" t="str">
        <f t="shared" si="21"/>
        <v>abr/2016</v>
      </c>
      <c r="E648" s="53">
        <v>42461</v>
      </c>
      <c r="F648" s="75">
        <v>19</v>
      </c>
      <c r="G648" s="72"/>
      <c r="H648" s="49" t="s">
        <v>152</v>
      </c>
      <c r="I648" s="49" t="s">
        <v>153</v>
      </c>
      <c r="J648" s="76">
        <v>-2000</v>
      </c>
      <c r="K648" s="83" t="str">
        <f>IFERROR(IFERROR(VLOOKUP(I648,'DE-PARA'!B:D,3,0),VLOOKUP(I648,'DE-PARA'!C:D,2,0)),"NÃO ENCONTRADO")</f>
        <v>Outras Saídas</v>
      </c>
      <c r="L648" s="50" t="str">
        <f>VLOOKUP(K648,'Base -Receita-Despesa'!$B:$P,1,FALSE)</f>
        <v>Outras Saídas</v>
      </c>
    </row>
    <row r="649" spans="1:12" ht="15" customHeight="1" x14ac:dyDescent="0.3">
      <c r="A649" s="82" t="str">
        <f t="shared" si="20"/>
        <v>2016</v>
      </c>
      <c r="B649" s="72" t="s">
        <v>131</v>
      </c>
      <c r="C649" s="73" t="s">
        <v>132</v>
      </c>
      <c r="D649" s="74" t="str">
        <f t="shared" si="21"/>
        <v>abr/2016</v>
      </c>
      <c r="E649" s="53">
        <v>42461</v>
      </c>
      <c r="F649" s="75">
        <v>149891</v>
      </c>
      <c r="G649" s="72"/>
      <c r="H649" s="49" t="s">
        <v>205</v>
      </c>
      <c r="I649" s="49" t="s">
        <v>206</v>
      </c>
      <c r="J649" s="76">
        <v>-8500</v>
      </c>
      <c r="K649" s="83" t="str">
        <f>IFERROR(IFERROR(VLOOKUP(I649,'DE-PARA'!B:D,3,0),VLOOKUP(I649,'DE-PARA'!C:D,2,0)),"NÃO ENCONTRADO")</f>
        <v>Serviços</v>
      </c>
      <c r="L649" s="50" t="str">
        <f>VLOOKUP(K649,'Base -Receita-Despesa'!$B:$P,1,FALSE)</f>
        <v>Serviços</v>
      </c>
    </row>
    <row r="650" spans="1:12" ht="15" customHeight="1" x14ac:dyDescent="0.3">
      <c r="A650" s="82" t="str">
        <f t="shared" si="20"/>
        <v>2016</v>
      </c>
      <c r="B650" s="72" t="s">
        <v>131</v>
      </c>
      <c r="C650" s="73" t="s">
        <v>132</v>
      </c>
      <c r="D650" s="74" t="str">
        <f t="shared" si="21"/>
        <v>abr/2016</v>
      </c>
      <c r="E650" s="53">
        <v>42461</v>
      </c>
      <c r="F650" s="75">
        <v>430200</v>
      </c>
      <c r="G650" s="72"/>
      <c r="H650" s="49" t="s">
        <v>242</v>
      </c>
      <c r="I650" s="49" t="s">
        <v>138</v>
      </c>
      <c r="J650" s="76">
        <v>-229.7</v>
      </c>
      <c r="K650" s="83" t="str">
        <f>IFERROR(IFERROR(VLOOKUP(I650,'DE-PARA'!B:D,3,0),VLOOKUP(I650,'DE-PARA'!C:D,2,0)),"NÃO ENCONTRADO")</f>
        <v>Serviços</v>
      </c>
      <c r="L650" s="50" t="str">
        <f>VLOOKUP(K650,'Base -Receita-Despesa'!$B:$P,1,FALSE)</f>
        <v>Serviços</v>
      </c>
    </row>
    <row r="651" spans="1:12" ht="15" customHeight="1" x14ac:dyDescent="0.3">
      <c r="A651" s="82" t="str">
        <f t="shared" si="20"/>
        <v>2016</v>
      </c>
      <c r="B651" s="72" t="s">
        <v>131</v>
      </c>
      <c r="C651" s="73" t="s">
        <v>132</v>
      </c>
      <c r="D651" s="74" t="str">
        <f t="shared" si="21"/>
        <v>abr/2016</v>
      </c>
      <c r="E651" s="53">
        <v>42461</v>
      </c>
      <c r="F651" s="75" t="s">
        <v>123</v>
      </c>
      <c r="G651" s="72"/>
      <c r="H651" s="49" t="s">
        <v>689</v>
      </c>
      <c r="I651" s="49" t="s">
        <v>124</v>
      </c>
      <c r="J651" s="76">
        <v>-1484.64</v>
      </c>
      <c r="K651" s="83" t="str">
        <f>IFERROR(IFERROR(VLOOKUP(I651,'DE-PARA'!B:D,3,0),VLOOKUP(I651,'DE-PARA'!C:D,2,0)),"NÃO ENCONTRADO")</f>
        <v>Rescisões Trabalhistas</v>
      </c>
      <c r="L651" s="50" t="str">
        <f>VLOOKUP(K651,'Base -Receita-Despesa'!$B:$P,1,FALSE)</f>
        <v>Rescisões Trabalhistas</v>
      </c>
    </row>
    <row r="652" spans="1:12" ht="15" customHeight="1" x14ac:dyDescent="0.3">
      <c r="A652" s="82" t="str">
        <f t="shared" si="20"/>
        <v>2016</v>
      </c>
      <c r="B652" s="72" t="s">
        <v>131</v>
      </c>
      <c r="C652" s="73" t="s">
        <v>132</v>
      </c>
      <c r="D652" s="74" t="str">
        <f t="shared" si="21"/>
        <v>abr/2016</v>
      </c>
      <c r="E652" s="53">
        <v>42461</v>
      </c>
      <c r="F652" s="75">
        <v>179441</v>
      </c>
      <c r="G652" s="72"/>
      <c r="H652" s="49" t="s">
        <v>690</v>
      </c>
      <c r="I652" s="49" t="s">
        <v>144</v>
      </c>
      <c r="J652" s="76">
        <v>-1078.6500000000001</v>
      </c>
      <c r="K652" s="83" t="str">
        <f>IFERROR(IFERROR(VLOOKUP(I652,'DE-PARA'!B:D,3,0),VLOOKUP(I652,'DE-PARA'!C:D,2,0)),"NÃO ENCONTRADO")</f>
        <v>Concessionárias (água, luz e telefone)</v>
      </c>
      <c r="L652" s="50" t="str">
        <f>VLOOKUP(K652,'Base -Receita-Despesa'!$B:$P,1,FALSE)</f>
        <v>Concessionárias (água, luz e telefone)</v>
      </c>
    </row>
    <row r="653" spans="1:12" ht="15" customHeight="1" x14ac:dyDescent="0.3">
      <c r="A653" s="82" t="str">
        <f t="shared" si="20"/>
        <v>2016</v>
      </c>
      <c r="B653" s="72" t="s">
        <v>131</v>
      </c>
      <c r="C653" s="73" t="s">
        <v>132</v>
      </c>
      <c r="D653" s="74" t="str">
        <f t="shared" si="21"/>
        <v>abr/2016</v>
      </c>
      <c r="E653" s="53">
        <v>42461</v>
      </c>
      <c r="F653" s="75">
        <v>433197</v>
      </c>
      <c r="G653" s="72"/>
      <c r="H653" s="49" t="s">
        <v>691</v>
      </c>
      <c r="I653" s="49" t="s">
        <v>167</v>
      </c>
      <c r="J653" s="76">
        <v>-367.35</v>
      </c>
      <c r="K653" s="83" t="str">
        <f>IFERROR(IFERROR(VLOOKUP(I653,'DE-PARA'!B:D,3,0),VLOOKUP(I653,'DE-PARA'!C:D,2,0)),"NÃO ENCONTRADO")</f>
        <v>Materiais</v>
      </c>
      <c r="L653" s="50" t="str">
        <f>VLOOKUP(K653,'Base -Receita-Despesa'!$B:$P,1,FALSE)</f>
        <v>Materiais</v>
      </c>
    </row>
    <row r="654" spans="1:12" ht="15" customHeight="1" x14ac:dyDescent="0.3">
      <c r="A654" s="82" t="str">
        <f t="shared" si="20"/>
        <v>2016</v>
      </c>
      <c r="B654" s="72" t="s">
        <v>131</v>
      </c>
      <c r="C654" s="73" t="s">
        <v>132</v>
      </c>
      <c r="D654" s="74" t="str">
        <f t="shared" si="21"/>
        <v>abr/2016</v>
      </c>
      <c r="E654" s="53">
        <v>42461</v>
      </c>
      <c r="F654" s="75">
        <v>319395</v>
      </c>
      <c r="G654" s="72"/>
      <c r="H654" s="49" t="s">
        <v>212</v>
      </c>
      <c r="I654" s="49" t="s">
        <v>138</v>
      </c>
      <c r="J654" s="76">
        <v>-4707.62</v>
      </c>
      <c r="K654" s="83" t="str">
        <f>IFERROR(IFERROR(VLOOKUP(I654,'DE-PARA'!B:D,3,0),VLOOKUP(I654,'DE-PARA'!C:D,2,0)),"NÃO ENCONTRADO")</f>
        <v>Serviços</v>
      </c>
      <c r="L654" s="50" t="str">
        <f>VLOOKUP(K654,'Base -Receita-Despesa'!$B:$P,1,FALSE)</f>
        <v>Serviços</v>
      </c>
    </row>
    <row r="655" spans="1:12" ht="15" customHeight="1" x14ac:dyDescent="0.3">
      <c r="A655" s="82" t="str">
        <f t="shared" si="20"/>
        <v>2016</v>
      </c>
      <c r="B655" s="72" t="s">
        <v>131</v>
      </c>
      <c r="C655" s="73" t="s">
        <v>132</v>
      </c>
      <c r="D655" s="74" t="str">
        <f t="shared" si="21"/>
        <v>abr/2016</v>
      </c>
      <c r="E655" s="53">
        <v>42461</v>
      </c>
      <c r="F655" s="75">
        <v>428763</v>
      </c>
      <c r="G655" s="72"/>
      <c r="H655" s="49" t="s">
        <v>588</v>
      </c>
      <c r="I655" s="49" t="s">
        <v>159</v>
      </c>
      <c r="J655" s="76">
        <v>-776.73</v>
      </c>
      <c r="K655" s="83" t="str">
        <f>IFERROR(IFERROR(VLOOKUP(I655,'DE-PARA'!B:D,3,0),VLOOKUP(I655,'DE-PARA'!C:D,2,0)),"NÃO ENCONTRADO")</f>
        <v>Materiais</v>
      </c>
      <c r="L655" s="50" t="str">
        <f>VLOOKUP(K655,'Base -Receita-Despesa'!$B:$P,1,FALSE)</f>
        <v>Materiais</v>
      </c>
    </row>
    <row r="656" spans="1:12" ht="15" customHeight="1" x14ac:dyDescent="0.3">
      <c r="A656" s="82" t="str">
        <f t="shared" si="20"/>
        <v>2016</v>
      </c>
      <c r="B656" s="72" t="s">
        <v>131</v>
      </c>
      <c r="C656" s="73" t="s">
        <v>132</v>
      </c>
      <c r="D656" s="74" t="str">
        <f t="shared" si="21"/>
        <v>abr/2016</v>
      </c>
      <c r="E656" s="53">
        <v>42464</v>
      </c>
      <c r="F656" s="75">
        <v>241954</v>
      </c>
      <c r="G656" s="72"/>
      <c r="H656" s="49" t="s">
        <v>562</v>
      </c>
      <c r="I656" s="49" t="s">
        <v>135</v>
      </c>
      <c r="J656" s="76">
        <v>-297598.71000000002</v>
      </c>
      <c r="K656" s="83" t="str">
        <f>IFERROR(IFERROR(VLOOKUP(I656,'DE-PARA'!B:D,3,0),VLOOKUP(I656,'DE-PARA'!C:D,2,0)),"NÃO ENCONTRADO")</f>
        <v>Pessoal</v>
      </c>
      <c r="L656" s="50" t="str">
        <f>VLOOKUP(K656,'Base -Receita-Despesa'!$B:$P,1,FALSE)</f>
        <v>Pessoal</v>
      </c>
    </row>
    <row r="657" spans="1:12" ht="15" customHeight="1" x14ac:dyDescent="0.3">
      <c r="A657" s="82" t="str">
        <f t="shared" si="20"/>
        <v>2016</v>
      </c>
      <c r="B657" s="72" t="s">
        <v>131</v>
      </c>
      <c r="C657" s="73" t="s">
        <v>132</v>
      </c>
      <c r="D657" s="74" t="str">
        <f t="shared" si="21"/>
        <v>abr/2016</v>
      </c>
      <c r="E657" s="53">
        <v>42464</v>
      </c>
      <c r="F657" s="75">
        <v>922102</v>
      </c>
      <c r="G657" s="72"/>
      <c r="H657" s="49" t="s">
        <v>691</v>
      </c>
      <c r="I657" s="49" t="s">
        <v>167</v>
      </c>
      <c r="J657" s="76">
        <v>-317.7</v>
      </c>
      <c r="K657" s="83" t="str">
        <f>IFERROR(IFERROR(VLOOKUP(I657,'DE-PARA'!B:D,3,0),VLOOKUP(I657,'DE-PARA'!C:D,2,0)),"NÃO ENCONTRADO")</f>
        <v>Materiais</v>
      </c>
      <c r="L657" s="50" t="str">
        <f>VLOOKUP(K657,'Base -Receita-Despesa'!$B:$P,1,FALSE)</f>
        <v>Materiais</v>
      </c>
    </row>
    <row r="658" spans="1:12" ht="15" customHeight="1" x14ac:dyDescent="0.3">
      <c r="A658" s="82" t="str">
        <f t="shared" si="20"/>
        <v>2016</v>
      </c>
      <c r="B658" s="72" t="s">
        <v>131</v>
      </c>
      <c r="C658" s="73" t="s">
        <v>132</v>
      </c>
      <c r="D658" s="74" t="str">
        <f t="shared" si="21"/>
        <v>abr/2016</v>
      </c>
      <c r="E658" s="53">
        <v>42464</v>
      </c>
      <c r="F658" s="75">
        <v>925567</v>
      </c>
      <c r="G658" s="72"/>
      <c r="H658" s="49" t="s">
        <v>187</v>
      </c>
      <c r="I658" s="49" t="s">
        <v>159</v>
      </c>
      <c r="J658" s="76">
        <v>-300</v>
      </c>
      <c r="K658" s="83" t="str">
        <f>IFERROR(IFERROR(VLOOKUP(I658,'DE-PARA'!B:D,3,0),VLOOKUP(I658,'DE-PARA'!C:D,2,0)),"NÃO ENCONTRADO")</f>
        <v>Materiais</v>
      </c>
      <c r="L658" s="50" t="str">
        <f>VLOOKUP(K658,'Base -Receita-Despesa'!$B:$P,1,FALSE)</f>
        <v>Materiais</v>
      </c>
    </row>
    <row r="659" spans="1:12" ht="15" customHeight="1" x14ac:dyDescent="0.3">
      <c r="A659" s="82" t="str">
        <f t="shared" si="20"/>
        <v>2016</v>
      </c>
      <c r="B659" s="72" t="s">
        <v>131</v>
      </c>
      <c r="C659" s="73" t="s">
        <v>132</v>
      </c>
      <c r="D659" s="74" t="str">
        <f t="shared" si="21"/>
        <v>abr/2016</v>
      </c>
      <c r="E659" s="53">
        <v>42465</v>
      </c>
      <c r="F659" s="75">
        <v>51540</v>
      </c>
      <c r="G659" s="72"/>
      <c r="H659" s="49" t="s">
        <v>693</v>
      </c>
      <c r="I659" s="49" t="s">
        <v>135</v>
      </c>
      <c r="J659" s="76">
        <v>1324.69</v>
      </c>
      <c r="K659" s="83" t="str">
        <f>IFERROR(IFERROR(VLOOKUP(I659,'DE-PARA'!B:D,3,0),VLOOKUP(I659,'DE-PARA'!C:D,2,0)),"NÃO ENCONTRADO")</f>
        <v>Pessoal</v>
      </c>
      <c r="L659" s="50" t="str">
        <f>VLOOKUP(K659,'Base -Receita-Despesa'!$B:$P,1,FALSE)</f>
        <v>Pessoal</v>
      </c>
    </row>
    <row r="660" spans="1:12" ht="15" customHeight="1" x14ac:dyDescent="0.3">
      <c r="A660" s="82" t="str">
        <f t="shared" si="20"/>
        <v>2016</v>
      </c>
      <c r="B660" s="72" t="s">
        <v>131</v>
      </c>
      <c r="C660" s="73" t="s">
        <v>132</v>
      </c>
      <c r="D660" s="74" t="str">
        <f t="shared" si="21"/>
        <v>abr/2016</v>
      </c>
      <c r="E660" s="53">
        <v>42465</v>
      </c>
      <c r="F660" s="75">
        <v>31485</v>
      </c>
      <c r="G660" s="72"/>
      <c r="H660" s="49" t="s">
        <v>246</v>
      </c>
      <c r="I660" s="49" t="s">
        <v>138</v>
      </c>
      <c r="J660" s="76">
        <v>-435.66</v>
      </c>
      <c r="K660" s="83" t="str">
        <f>IFERROR(IFERROR(VLOOKUP(I660,'DE-PARA'!B:D,3,0),VLOOKUP(I660,'DE-PARA'!C:D,2,0)),"NÃO ENCONTRADO")</f>
        <v>Serviços</v>
      </c>
      <c r="L660" s="50" t="str">
        <f>VLOOKUP(K660,'Base -Receita-Despesa'!$B:$P,1,FALSE)</f>
        <v>Serviços</v>
      </c>
    </row>
    <row r="661" spans="1:12" ht="15" customHeight="1" x14ac:dyDescent="0.3">
      <c r="A661" s="82" t="str">
        <f t="shared" si="20"/>
        <v>2016</v>
      </c>
      <c r="B661" s="72" t="s">
        <v>131</v>
      </c>
      <c r="C661" s="73" t="s">
        <v>132</v>
      </c>
      <c r="D661" s="74" t="str">
        <f t="shared" si="21"/>
        <v>abr/2016</v>
      </c>
      <c r="E661" s="53">
        <v>42466</v>
      </c>
      <c r="F661" s="75">
        <v>502397</v>
      </c>
      <c r="G661" s="72"/>
      <c r="H661" s="49" t="s">
        <v>694</v>
      </c>
      <c r="I661" s="49" t="s">
        <v>153</v>
      </c>
      <c r="J661" s="76">
        <v>55.45</v>
      </c>
      <c r="K661" s="83" t="str">
        <f>IFERROR(IFERROR(VLOOKUP(I661,'DE-PARA'!B:D,3,0),VLOOKUP(I661,'DE-PARA'!C:D,2,0)),"NÃO ENCONTRADO")</f>
        <v>Outras Saídas</v>
      </c>
      <c r="L661" s="50" t="str">
        <f>VLOOKUP(K661,'Base -Receita-Despesa'!$B:$P,1,FALSE)</f>
        <v>Outras Saídas</v>
      </c>
    </row>
    <row r="662" spans="1:12" ht="15" customHeight="1" x14ac:dyDescent="0.3">
      <c r="A662" s="82" t="str">
        <f t="shared" si="20"/>
        <v>2016</v>
      </c>
      <c r="B662" s="72" t="s">
        <v>131</v>
      </c>
      <c r="C662" s="73" t="s">
        <v>132</v>
      </c>
      <c r="D662" s="74" t="str">
        <f t="shared" si="21"/>
        <v>abr/2016</v>
      </c>
      <c r="E662" s="53">
        <v>42466</v>
      </c>
      <c r="F662" s="75">
        <v>241954</v>
      </c>
      <c r="G662" s="72"/>
      <c r="H662" s="49" t="s">
        <v>251</v>
      </c>
      <c r="I662" s="49" t="s">
        <v>129</v>
      </c>
      <c r="J662" s="76">
        <v>-136.53</v>
      </c>
      <c r="K662" s="83" t="str">
        <f>IFERROR(IFERROR(VLOOKUP(I662,'DE-PARA'!B:D,3,0),VLOOKUP(I662,'DE-PARA'!C:D,2,0)),"NÃO ENCONTRADO")</f>
        <v>Outras Saídas</v>
      </c>
      <c r="L662" s="50" t="str">
        <f>VLOOKUP(K662,'Base -Receita-Despesa'!$B:$P,1,FALSE)</f>
        <v>Outras Saídas</v>
      </c>
    </row>
    <row r="663" spans="1:12" ht="15" customHeight="1" x14ac:dyDescent="0.3">
      <c r="A663" s="82" t="str">
        <f t="shared" si="20"/>
        <v>2016</v>
      </c>
      <c r="B663" s="72" t="s">
        <v>131</v>
      </c>
      <c r="C663" s="73" t="s">
        <v>132</v>
      </c>
      <c r="D663" s="74" t="str">
        <f t="shared" si="21"/>
        <v>abr/2016</v>
      </c>
      <c r="E663" s="53">
        <v>42466</v>
      </c>
      <c r="F663" s="75">
        <v>61402</v>
      </c>
      <c r="G663" s="72"/>
      <c r="H663" s="49" t="s">
        <v>695</v>
      </c>
      <c r="I663" s="49" t="s">
        <v>135</v>
      </c>
      <c r="J663" s="76">
        <v>46.43</v>
      </c>
      <c r="K663" s="83" t="str">
        <f>IFERROR(IFERROR(VLOOKUP(I663,'DE-PARA'!B:D,3,0),VLOOKUP(I663,'DE-PARA'!C:D,2,0)),"NÃO ENCONTRADO")</f>
        <v>Pessoal</v>
      </c>
      <c r="L663" s="50" t="str">
        <f>VLOOKUP(K663,'Base -Receita-Despesa'!$B:$P,1,FALSE)</f>
        <v>Pessoal</v>
      </c>
    </row>
    <row r="664" spans="1:12" ht="15" customHeight="1" x14ac:dyDescent="0.3">
      <c r="A664" s="82" t="str">
        <f t="shared" si="20"/>
        <v>2016</v>
      </c>
      <c r="B664" s="72" t="s">
        <v>131</v>
      </c>
      <c r="C664" s="73" t="s">
        <v>132</v>
      </c>
      <c r="D664" s="74" t="str">
        <f t="shared" si="21"/>
        <v>abr/2016</v>
      </c>
      <c r="E664" s="53">
        <v>42466</v>
      </c>
      <c r="F664" s="75">
        <v>103562</v>
      </c>
      <c r="G664" s="72"/>
      <c r="H664" s="49" t="s">
        <v>696</v>
      </c>
      <c r="I664" s="49" t="s">
        <v>135</v>
      </c>
      <c r="J664" s="76">
        <v>200.61</v>
      </c>
      <c r="K664" s="83" t="str">
        <f>IFERROR(IFERROR(VLOOKUP(I664,'DE-PARA'!B:D,3,0),VLOOKUP(I664,'DE-PARA'!C:D,2,0)),"NÃO ENCONTRADO")</f>
        <v>Pessoal</v>
      </c>
      <c r="L664" s="50" t="str">
        <f>VLOOKUP(K664,'Base -Receita-Despesa'!$B:$P,1,FALSE)</f>
        <v>Pessoal</v>
      </c>
    </row>
    <row r="665" spans="1:12" ht="15" customHeight="1" x14ac:dyDescent="0.3">
      <c r="A665" s="82" t="str">
        <f t="shared" si="20"/>
        <v>2016</v>
      </c>
      <c r="B665" s="72" t="s">
        <v>131</v>
      </c>
      <c r="C665" s="73" t="s">
        <v>132</v>
      </c>
      <c r="D665" s="74" t="str">
        <f t="shared" si="21"/>
        <v>abr/2016</v>
      </c>
      <c r="E665" s="53">
        <v>42466</v>
      </c>
      <c r="F665" s="75">
        <v>1338</v>
      </c>
      <c r="G665" s="72"/>
      <c r="H665" s="49" t="s">
        <v>697</v>
      </c>
      <c r="I665" s="49" t="s">
        <v>135</v>
      </c>
      <c r="J665" s="76">
        <v>1566.59</v>
      </c>
      <c r="K665" s="83" t="str">
        <f>IFERROR(IFERROR(VLOOKUP(I665,'DE-PARA'!B:D,3,0),VLOOKUP(I665,'DE-PARA'!C:D,2,0)),"NÃO ENCONTRADO")</f>
        <v>Pessoal</v>
      </c>
      <c r="L665" s="50" t="str">
        <f>VLOOKUP(K665,'Base -Receita-Despesa'!$B:$P,1,FALSE)</f>
        <v>Pessoal</v>
      </c>
    </row>
    <row r="666" spans="1:12" ht="15" customHeight="1" x14ac:dyDescent="0.3">
      <c r="A666" s="82" t="str">
        <f t="shared" si="20"/>
        <v>2016</v>
      </c>
      <c r="B666" s="72" t="s">
        <v>131</v>
      </c>
      <c r="C666" s="73" t="s">
        <v>132</v>
      </c>
      <c r="D666" s="74" t="str">
        <f t="shared" si="21"/>
        <v>abr/2016</v>
      </c>
      <c r="E666" s="53">
        <v>42466</v>
      </c>
      <c r="F666" s="75">
        <v>61308</v>
      </c>
      <c r="G666" s="72"/>
      <c r="H666" s="49" t="s">
        <v>698</v>
      </c>
      <c r="I666" s="49" t="s">
        <v>135</v>
      </c>
      <c r="J666" s="76">
        <v>57.56</v>
      </c>
      <c r="K666" s="83" t="str">
        <f>IFERROR(IFERROR(VLOOKUP(I666,'DE-PARA'!B:D,3,0),VLOOKUP(I666,'DE-PARA'!C:D,2,0)),"NÃO ENCONTRADO")</f>
        <v>Pessoal</v>
      </c>
      <c r="L666" s="50" t="str">
        <f>VLOOKUP(K666,'Base -Receita-Despesa'!$B:$P,1,FALSE)</f>
        <v>Pessoal</v>
      </c>
    </row>
    <row r="667" spans="1:12" ht="15" customHeight="1" x14ac:dyDescent="0.3">
      <c r="A667" s="82" t="str">
        <f t="shared" si="20"/>
        <v>2016</v>
      </c>
      <c r="B667" s="72" t="s">
        <v>131</v>
      </c>
      <c r="C667" s="73" t="s">
        <v>132</v>
      </c>
      <c r="D667" s="74" t="str">
        <f t="shared" si="21"/>
        <v>abr/2016</v>
      </c>
      <c r="E667" s="53">
        <v>42466</v>
      </c>
      <c r="F667" s="75">
        <v>61345</v>
      </c>
      <c r="G667" s="72"/>
      <c r="H667" s="49" t="s">
        <v>699</v>
      </c>
      <c r="I667" s="49" t="s">
        <v>135</v>
      </c>
      <c r="J667" s="76">
        <v>137.07</v>
      </c>
      <c r="K667" s="83" t="str">
        <f>IFERROR(IFERROR(VLOOKUP(I667,'DE-PARA'!B:D,3,0),VLOOKUP(I667,'DE-PARA'!C:D,2,0)),"NÃO ENCONTRADO")</f>
        <v>Pessoal</v>
      </c>
      <c r="L667" s="50" t="str">
        <f>VLOOKUP(K667,'Base -Receita-Despesa'!$B:$P,1,FALSE)</f>
        <v>Pessoal</v>
      </c>
    </row>
    <row r="668" spans="1:12" ht="15" customHeight="1" x14ac:dyDescent="0.3">
      <c r="A668" s="82" t="str">
        <f t="shared" si="20"/>
        <v>2016</v>
      </c>
      <c r="B668" s="72" t="s">
        <v>131</v>
      </c>
      <c r="C668" s="73" t="s">
        <v>132</v>
      </c>
      <c r="D668" s="74" t="str">
        <f t="shared" si="21"/>
        <v>abr/2016</v>
      </c>
      <c r="E668" s="53">
        <v>42466</v>
      </c>
      <c r="F668" s="75">
        <v>630</v>
      </c>
      <c r="G668" s="72"/>
      <c r="H668" s="49" t="s">
        <v>700</v>
      </c>
      <c r="I668" s="49" t="s">
        <v>135</v>
      </c>
      <c r="J668" s="76">
        <v>120</v>
      </c>
      <c r="K668" s="83" t="str">
        <f>IFERROR(IFERROR(VLOOKUP(I668,'DE-PARA'!B:D,3,0),VLOOKUP(I668,'DE-PARA'!C:D,2,0)),"NÃO ENCONTRADO")</f>
        <v>Pessoal</v>
      </c>
      <c r="L668" s="50" t="str">
        <f>VLOOKUP(K668,'Base -Receita-Despesa'!$B:$P,1,FALSE)</f>
        <v>Pessoal</v>
      </c>
    </row>
    <row r="669" spans="1:12" ht="15" customHeight="1" x14ac:dyDescent="0.3">
      <c r="A669" s="82" t="str">
        <f t="shared" si="20"/>
        <v>2016</v>
      </c>
      <c r="B669" s="72" t="s">
        <v>131</v>
      </c>
      <c r="C669" s="73" t="s">
        <v>132</v>
      </c>
      <c r="D669" s="74" t="str">
        <f t="shared" si="21"/>
        <v>abr/2016</v>
      </c>
      <c r="E669" s="53">
        <v>42466</v>
      </c>
      <c r="F669" s="75">
        <v>3562</v>
      </c>
      <c r="G669" s="72"/>
      <c r="H669" s="49" t="s">
        <v>701</v>
      </c>
      <c r="I669" s="49" t="s">
        <v>135</v>
      </c>
      <c r="J669" s="76">
        <v>93.78</v>
      </c>
      <c r="K669" s="83" t="str">
        <f>IFERROR(IFERROR(VLOOKUP(I669,'DE-PARA'!B:D,3,0),VLOOKUP(I669,'DE-PARA'!C:D,2,0)),"NÃO ENCONTRADO")</f>
        <v>Pessoal</v>
      </c>
      <c r="L669" s="50" t="str">
        <f>VLOOKUP(K669,'Base -Receita-Despesa'!$B:$P,1,FALSE)</f>
        <v>Pessoal</v>
      </c>
    </row>
    <row r="670" spans="1:12" ht="15" customHeight="1" x14ac:dyDescent="0.3">
      <c r="A670" s="82" t="str">
        <f t="shared" si="20"/>
        <v>2016</v>
      </c>
      <c r="B670" s="72" t="s">
        <v>131</v>
      </c>
      <c r="C670" s="73" t="s">
        <v>132</v>
      </c>
      <c r="D670" s="74" t="str">
        <f t="shared" si="21"/>
        <v>abr/2016</v>
      </c>
      <c r="E670" s="53">
        <v>42466</v>
      </c>
      <c r="F670" s="75">
        <v>3562</v>
      </c>
      <c r="G670" s="72"/>
      <c r="H670" s="49" t="s">
        <v>330</v>
      </c>
      <c r="I670" s="49" t="s">
        <v>135</v>
      </c>
      <c r="J670" s="76">
        <v>6925.36</v>
      </c>
      <c r="K670" s="83" t="str">
        <f>IFERROR(IFERROR(VLOOKUP(I670,'DE-PARA'!B:D,3,0),VLOOKUP(I670,'DE-PARA'!C:D,2,0)),"NÃO ENCONTRADO")</f>
        <v>Pessoal</v>
      </c>
      <c r="L670" s="50" t="str">
        <f>VLOOKUP(K670,'Base -Receita-Despesa'!$B:$P,1,FALSE)</f>
        <v>Pessoal</v>
      </c>
    </row>
    <row r="671" spans="1:12" ht="15" customHeight="1" x14ac:dyDescent="0.3">
      <c r="A671" s="82" t="str">
        <f t="shared" si="20"/>
        <v>2016</v>
      </c>
      <c r="B671" s="72" t="s">
        <v>131</v>
      </c>
      <c r="C671" s="73" t="s">
        <v>132</v>
      </c>
      <c r="D671" s="74" t="str">
        <f t="shared" si="21"/>
        <v>abr/2016</v>
      </c>
      <c r="E671" s="53">
        <v>42466</v>
      </c>
      <c r="F671" s="75">
        <v>835769</v>
      </c>
      <c r="G671" s="72"/>
      <c r="H671" s="49" t="s">
        <v>360</v>
      </c>
      <c r="I671" s="49" t="s">
        <v>111</v>
      </c>
      <c r="J671" s="76">
        <v>-10302.4</v>
      </c>
      <c r="K671" s="83" t="str">
        <f>IFERROR(IFERROR(VLOOKUP(I671,'DE-PARA'!B:D,3,0),VLOOKUP(I671,'DE-PARA'!C:D,2,0)),"NÃO ENCONTRADO")</f>
        <v>Serviços</v>
      </c>
      <c r="L671" s="50" t="str">
        <f>VLOOKUP(K671,'Base -Receita-Despesa'!$B:$P,1,FALSE)</f>
        <v>Serviços</v>
      </c>
    </row>
    <row r="672" spans="1:12" ht="15" customHeight="1" x14ac:dyDescent="0.3">
      <c r="A672" s="82" t="str">
        <f t="shared" si="20"/>
        <v>2016</v>
      </c>
      <c r="B672" s="72" t="s">
        <v>131</v>
      </c>
      <c r="C672" s="73" t="s">
        <v>132</v>
      </c>
      <c r="D672" s="74" t="str">
        <f t="shared" si="21"/>
        <v>abr/2016</v>
      </c>
      <c r="E672" s="53">
        <v>42466</v>
      </c>
      <c r="F672" s="75">
        <v>837796</v>
      </c>
      <c r="G672" s="72"/>
      <c r="H672" s="49" t="s">
        <v>360</v>
      </c>
      <c r="I672" s="49" t="s">
        <v>111</v>
      </c>
      <c r="J672" s="76">
        <v>-1781</v>
      </c>
      <c r="K672" s="83" t="str">
        <f>IFERROR(IFERROR(VLOOKUP(I672,'DE-PARA'!B:D,3,0),VLOOKUP(I672,'DE-PARA'!C:D,2,0)),"NÃO ENCONTRADO")</f>
        <v>Serviços</v>
      </c>
      <c r="L672" s="50" t="str">
        <f>VLOOKUP(K672,'Base -Receita-Despesa'!$B:$P,1,FALSE)</f>
        <v>Serviços</v>
      </c>
    </row>
    <row r="673" spans="1:12" ht="15" customHeight="1" x14ac:dyDescent="0.3">
      <c r="A673" s="82" t="str">
        <f t="shared" si="20"/>
        <v>2016</v>
      </c>
      <c r="B673" s="72" t="s">
        <v>131</v>
      </c>
      <c r="C673" s="73" t="s">
        <v>132</v>
      </c>
      <c r="D673" s="74" t="str">
        <f t="shared" si="21"/>
        <v>abr/2016</v>
      </c>
      <c r="E673" s="53">
        <v>42467</v>
      </c>
      <c r="F673" s="75">
        <v>389840</v>
      </c>
      <c r="G673" s="72"/>
      <c r="H673" s="49" t="s">
        <v>552</v>
      </c>
      <c r="I673" s="49" t="s">
        <v>1497</v>
      </c>
      <c r="J673" s="76">
        <v>150000</v>
      </c>
      <c r="K673" s="83" t="str">
        <f>IFERROR(IFERROR(VLOOKUP(I673,'DE-PARA'!B:D,3,0),VLOOKUP(I673,'DE-PARA'!C:D,2,0)),"NÃO ENCONTRADO")</f>
        <v>Repasses Contrato de Gestão</v>
      </c>
      <c r="L673" s="50" t="str">
        <f>VLOOKUP(K673,'Base -Receita-Despesa'!$B:$P,1,FALSE)</f>
        <v>Repasses Contrato de Gestão</v>
      </c>
    </row>
    <row r="674" spans="1:12" ht="15" customHeight="1" x14ac:dyDescent="0.3">
      <c r="A674" s="82" t="str">
        <f t="shared" si="20"/>
        <v>2016</v>
      </c>
      <c r="B674" s="72" t="s">
        <v>131</v>
      </c>
      <c r="C674" s="73" t="s">
        <v>132</v>
      </c>
      <c r="D674" s="74" t="str">
        <f t="shared" si="21"/>
        <v>abr/2016</v>
      </c>
      <c r="E674" s="53">
        <v>42467</v>
      </c>
      <c r="F674" s="75">
        <v>325919</v>
      </c>
      <c r="G674" s="72"/>
      <c r="H674" s="49" t="s">
        <v>452</v>
      </c>
      <c r="I674" s="49" t="s">
        <v>157</v>
      </c>
      <c r="J674" s="76">
        <v>-6273.02</v>
      </c>
      <c r="K674" s="83" t="str">
        <f>IFERROR(IFERROR(VLOOKUP(I674,'DE-PARA'!B:D,3,0),VLOOKUP(I674,'DE-PARA'!C:D,2,0)),"NÃO ENCONTRADO")</f>
        <v>Concessionárias (água, luz e telefone)</v>
      </c>
      <c r="L674" s="50" t="str">
        <f>VLOOKUP(K674,'Base -Receita-Despesa'!$B:$P,1,FALSE)</f>
        <v>Concessionárias (água, luz e telefone)</v>
      </c>
    </row>
    <row r="675" spans="1:12" ht="15" customHeight="1" x14ac:dyDescent="0.3">
      <c r="A675" s="82" t="str">
        <f t="shared" si="20"/>
        <v>2016</v>
      </c>
      <c r="B675" s="72" t="s">
        <v>131</v>
      </c>
      <c r="C675" s="73" t="s">
        <v>132</v>
      </c>
      <c r="D675" s="74" t="str">
        <f t="shared" si="21"/>
        <v>abr/2016</v>
      </c>
      <c r="E675" s="53">
        <v>42467</v>
      </c>
      <c r="F675" s="75">
        <v>104519</v>
      </c>
      <c r="G675" s="72"/>
      <c r="H675" s="49" t="s">
        <v>702</v>
      </c>
      <c r="I675" s="49" t="s">
        <v>135</v>
      </c>
      <c r="J675" s="76">
        <v>102</v>
      </c>
      <c r="K675" s="83" t="str">
        <f>IFERROR(IFERROR(VLOOKUP(I675,'DE-PARA'!B:D,3,0),VLOOKUP(I675,'DE-PARA'!C:D,2,0)),"NÃO ENCONTRADO")</f>
        <v>Pessoal</v>
      </c>
      <c r="L675" s="50" t="str">
        <f>VLOOKUP(K675,'Base -Receita-Despesa'!$B:$P,1,FALSE)</f>
        <v>Pessoal</v>
      </c>
    </row>
    <row r="676" spans="1:12" ht="15" customHeight="1" x14ac:dyDescent="0.3">
      <c r="A676" s="82" t="str">
        <f t="shared" si="20"/>
        <v>2016</v>
      </c>
      <c r="B676" s="72" t="s">
        <v>131</v>
      </c>
      <c r="C676" s="73" t="s">
        <v>132</v>
      </c>
      <c r="D676" s="74" t="str">
        <f t="shared" si="21"/>
        <v>abr/2016</v>
      </c>
      <c r="E676" s="53">
        <v>42467</v>
      </c>
      <c r="F676" s="75">
        <v>70710</v>
      </c>
      <c r="G676" s="72"/>
      <c r="H676" s="49" t="s">
        <v>703</v>
      </c>
      <c r="I676" s="49" t="s">
        <v>135</v>
      </c>
      <c r="J676" s="76">
        <v>142.61000000000001</v>
      </c>
      <c r="K676" s="83" t="str">
        <f>IFERROR(IFERROR(VLOOKUP(I676,'DE-PARA'!B:D,3,0),VLOOKUP(I676,'DE-PARA'!C:D,2,0)),"NÃO ENCONTRADO")</f>
        <v>Pessoal</v>
      </c>
      <c r="L676" s="50" t="str">
        <f>VLOOKUP(K676,'Base -Receita-Despesa'!$B:$P,1,FALSE)</f>
        <v>Pessoal</v>
      </c>
    </row>
    <row r="677" spans="1:12" ht="15" customHeight="1" x14ac:dyDescent="0.3">
      <c r="A677" s="82" t="str">
        <f t="shared" si="20"/>
        <v>2016</v>
      </c>
      <c r="B677" s="72" t="s">
        <v>131</v>
      </c>
      <c r="C677" s="73" t="s">
        <v>132</v>
      </c>
      <c r="D677" s="74" t="str">
        <f t="shared" si="21"/>
        <v>abr/2016</v>
      </c>
      <c r="E677" s="53">
        <v>42467</v>
      </c>
      <c r="F677" s="75">
        <v>4421</v>
      </c>
      <c r="G677" s="72"/>
      <c r="H677" s="49" t="s">
        <v>704</v>
      </c>
      <c r="I677" s="49" t="s">
        <v>135</v>
      </c>
      <c r="J677" s="76">
        <v>42.5</v>
      </c>
      <c r="K677" s="83" t="str">
        <f>IFERROR(IFERROR(VLOOKUP(I677,'DE-PARA'!B:D,3,0),VLOOKUP(I677,'DE-PARA'!C:D,2,0)),"NÃO ENCONTRADO")</f>
        <v>Pessoal</v>
      </c>
      <c r="L677" s="50" t="str">
        <f>VLOOKUP(K677,'Base -Receita-Despesa'!$B:$P,1,FALSE)</f>
        <v>Pessoal</v>
      </c>
    </row>
    <row r="678" spans="1:12" ht="15" customHeight="1" x14ac:dyDescent="0.3">
      <c r="A678" s="82" t="str">
        <f t="shared" si="20"/>
        <v>2016</v>
      </c>
      <c r="B678" s="72" t="s">
        <v>131</v>
      </c>
      <c r="C678" s="73" t="s">
        <v>132</v>
      </c>
      <c r="D678" s="74" t="str">
        <f t="shared" si="21"/>
        <v>abr/2016</v>
      </c>
      <c r="E678" s="53">
        <v>42467</v>
      </c>
      <c r="F678" s="75">
        <v>331743</v>
      </c>
      <c r="G678" s="72"/>
      <c r="H678" s="49" t="s">
        <v>705</v>
      </c>
      <c r="I678" s="49" t="s">
        <v>135</v>
      </c>
      <c r="J678" s="76">
        <v>1224.45</v>
      </c>
      <c r="K678" s="83" t="str">
        <f>IFERROR(IFERROR(VLOOKUP(I678,'DE-PARA'!B:D,3,0),VLOOKUP(I678,'DE-PARA'!C:D,2,0)),"NÃO ENCONTRADO")</f>
        <v>Pessoal</v>
      </c>
      <c r="L678" s="50" t="str">
        <f>VLOOKUP(K678,'Base -Receita-Despesa'!$B:$P,1,FALSE)</f>
        <v>Pessoal</v>
      </c>
    </row>
    <row r="679" spans="1:12" ht="15" customHeight="1" x14ac:dyDescent="0.3">
      <c r="A679" s="82" t="str">
        <f t="shared" si="20"/>
        <v>2016</v>
      </c>
      <c r="B679" s="72" t="s">
        <v>131</v>
      </c>
      <c r="C679" s="73" t="s">
        <v>132</v>
      </c>
      <c r="D679" s="74" t="str">
        <f t="shared" si="21"/>
        <v>abr/2016</v>
      </c>
      <c r="E679" s="53">
        <v>42467</v>
      </c>
      <c r="F679" s="75">
        <v>2256</v>
      </c>
      <c r="G679" s="72"/>
      <c r="H679" s="49" t="s">
        <v>706</v>
      </c>
      <c r="I679" s="49" t="s">
        <v>135</v>
      </c>
      <c r="J679" s="76">
        <v>116.67</v>
      </c>
      <c r="K679" s="83" t="str">
        <f>IFERROR(IFERROR(VLOOKUP(I679,'DE-PARA'!B:D,3,0),VLOOKUP(I679,'DE-PARA'!C:D,2,0)),"NÃO ENCONTRADO")</f>
        <v>Pessoal</v>
      </c>
      <c r="L679" s="50" t="str">
        <f>VLOOKUP(K679,'Base -Receita-Despesa'!$B:$P,1,FALSE)</f>
        <v>Pessoal</v>
      </c>
    </row>
    <row r="680" spans="1:12" ht="15" customHeight="1" x14ac:dyDescent="0.3">
      <c r="A680" s="82" t="str">
        <f t="shared" si="20"/>
        <v>2016</v>
      </c>
      <c r="B680" s="72" t="s">
        <v>131</v>
      </c>
      <c r="C680" s="73" t="s">
        <v>132</v>
      </c>
      <c r="D680" s="74" t="str">
        <f t="shared" si="21"/>
        <v>abr/2016</v>
      </c>
      <c r="E680" s="53">
        <v>42467</v>
      </c>
      <c r="F680" s="75">
        <v>767</v>
      </c>
      <c r="G680" s="72"/>
      <c r="H680" s="49" t="s">
        <v>707</v>
      </c>
      <c r="I680" s="49" t="s">
        <v>135</v>
      </c>
      <c r="J680" s="76">
        <v>42.33</v>
      </c>
      <c r="K680" s="83" t="str">
        <f>IFERROR(IFERROR(VLOOKUP(I680,'DE-PARA'!B:D,3,0),VLOOKUP(I680,'DE-PARA'!C:D,2,0)),"NÃO ENCONTRADO")</f>
        <v>Pessoal</v>
      </c>
      <c r="L680" s="50" t="str">
        <f>VLOOKUP(K680,'Base -Receita-Despesa'!$B:$P,1,FALSE)</f>
        <v>Pessoal</v>
      </c>
    </row>
    <row r="681" spans="1:12" ht="15" customHeight="1" x14ac:dyDescent="0.3">
      <c r="A681" s="82" t="str">
        <f t="shared" si="20"/>
        <v>2016</v>
      </c>
      <c r="B681" s="72" t="s">
        <v>131</v>
      </c>
      <c r="C681" s="73" t="s">
        <v>132</v>
      </c>
      <c r="D681" s="74" t="str">
        <f t="shared" si="21"/>
        <v>abr/2016</v>
      </c>
      <c r="E681" s="53">
        <v>42467</v>
      </c>
      <c r="F681" s="75">
        <v>13</v>
      </c>
      <c r="G681" s="72"/>
      <c r="H681" s="49" t="s">
        <v>708</v>
      </c>
      <c r="I681" s="49" t="s">
        <v>135</v>
      </c>
      <c r="J681" s="76">
        <v>1099.2</v>
      </c>
      <c r="K681" s="83" t="str">
        <f>IFERROR(IFERROR(VLOOKUP(I681,'DE-PARA'!B:D,3,0),VLOOKUP(I681,'DE-PARA'!C:D,2,0)),"NÃO ENCONTRADO")</f>
        <v>Pessoal</v>
      </c>
      <c r="L681" s="50" t="str">
        <f>VLOOKUP(K681,'Base -Receita-Despesa'!$B:$P,1,FALSE)</f>
        <v>Pessoal</v>
      </c>
    </row>
    <row r="682" spans="1:12" ht="15" customHeight="1" x14ac:dyDescent="0.3">
      <c r="A682" s="82" t="str">
        <f t="shared" si="20"/>
        <v>2016</v>
      </c>
      <c r="B682" s="72" t="s">
        <v>131</v>
      </c>
      <c r="C682" s="73" t="s">
        <v>132</v>
      </c>
      <c r="D682" s="74" t="str">
        <f t="shared" si="21"/>
        <v>abr/2016</v>
      </c>
      <c r="E682" s="53">
        <v>42467</v>
      </c>
      <c r="F682" s="75">
        <v>71004</v>
      </c>
      <c r="G682" s="72"/>
      <c r="H682" s="49" t="s">
        <v>709</v>
      </c>
      <c r="I682" s="49" t="s">
        <v>135</v>
      </c>
      <c r="J682" s="76">
        <v>211.15</v>
      </c>
      <c r="K682" s="83" t="str">
        <f>IFERROR(IFERROR(VLOOKUP(I682,'DE-PARA'!B:D,3,0),VLOOKUP(I682,'DE-PARA'!C:D,2,0)),"NÃO ENCONTRADO")</f>
        <v>Pessoal</v>
      </c>
      <c r="L682" s="50" t="str">
        <f>VLOOKUP(K682,'Base -Receita-Despesa'!$B:$P,1,FALSE)</f>
        <v>Pessoal</v>
      </c>
    </row>
    <row r="683" spans="1:12" ht="15" customHeight="1" x14ac:dyDescent="0.3">
      <c r="A683" s="82" t="str">
        <f t="shared" si="20"/>
        <v>2016</v>
      </c>
      <c r="B683" s="72" t="s">
        <v>131</v>
      </c>
      <c r="C683" s="73" t="s">
        <v>132</v>
      </c>
      <c r="D683" s="74" t="str">
        <f t="shared" si="21"/>
        <v>abr/2016</v>
      </c>
      <c r="E683" s="53">
        <v>42467</v>
      </c>
      <c r="F683" s="75">
        <v>522369</v>
      </c>
      <c r="G683" s="72"/>
      <c r="H683" s="49" t="s">
        <v>710</v>
      </c>
      <c r="I683" s="49" t="s">
        <v>135</v>
      </c>
      <c r="J683" s="76">
        <v>-126.8</v>
      </c>
      <c r="K683" s="83" t="str">
        <f>IFERROR(IFERROR(VLOOKUP(I683,'DE-PARA'!B:D,3,0),VLOOKUP(I683,'DE-PARA'!C:D,2,0)),"NÃO ENCONTRADO")</f>
        <v>Pessoal</v>
      </c>
      <c r="L683" s="50" t="str">
        <f>VLOOKUP(K683,'Base -Receita-Despesa'!$B:$P,1,FALSE)</f>
        <v>Pessoal</v>
      </c>
    </row>
    <row r="684" spans="1:12" ht="15" customHeight="1" x14ac:dyDescent="0.3">
      <c r="A684" s="82" t="str">
        <f t="shared" si="20"/>
        <v>2016</v>
      </c>
      <c r="B684" s="72" t="s">
        <v>131</v>
      </c>
      <c r="C684" s="73" t="s">
        <v>132</v>
      </c>
      <c r="D684" s="74" t="str">
        <f t="shared" si="21"/>
        <v>abr/2016</v>
      </c>
      <c r="E684" s="53">
        <v>42467</v>
      </c>
      <c r="F684" s="75">
        <v>529144</v>
      </c>
      <c r="G684" s="72"/>
      <c r="H684" s="49" t="s">
        <v>711</v>
      </c>
      <c r="I684" s="49" t="s">
        <v>135</v>
      </c>
      <c r="J684" s="76">
        <v>-2538.1999999999998</v>
      </c>
      <c r="K684" s="83" t="str">
        <f>IFERROR(IFERROR(VLOOKUP(I684,'DE-PARA'!B:D,3,0),VLOOKUP(I684,'DE-PARA'!C:D,2,0)),"NÃO ENCONTRADO")</f>
        <v>Pessoal</v>
      </c>
      <c r="L684" s="50" t="str">
        <f>VLOOKUP(K684,'Base -Receita-Despesa'!$B:$P,1,FALSE)</f>
        <v>Pessoal</v>
      </c>
    </row>
    <row r="685" spans="1:12" ht="15" customHeight="1" x14ac:dyDescent="0.3">
      <c r="A685" s="82" t="str">
        <f t="shared" si="20"/>
        <v>2016</v>
      </c>
      <c r="B685" s="72" t="s">
        <v>131</v>
      </c>
      <c r="C685" s="73" t="s">
        <v>132</v>
      </c>
      <c r="D685" s="74" t="str">
        <f t="shared" si="21"/>
        <v>abr/2016</v>
      </c>
      <c r="E685" s="53">
        <v>42467</v>
      </c>
      <c r="F685" s="75">
        <v>587358</v>
      </c>
      <c r="G685" s="72"/>
      <c r="H685" s="49" t="s">
        <v>712</v>
      </c>
      <c r="I685" s="49" t="s">
        <v>122</v>
      </c>
      <c r="J685" s="76">
        <v>-30982.58</v>
      </c>
      <c r="K685" s="83" t="str">
        <f>IFERROR(IFERROR(VLOOKUP(I685,'DE-PARA'!B:D,3,0),VLOOKUP(I685,'DE-PARA'!C:D,2,0)),"NÃO ENCONTRADO")</f>
        <v>Encargos sobre Folha de Pagamento</v>
      </c>
      <c r="L685" s="50" t="str">
        <f>VLOOKUP(K685,'Base -Receita-Despesa'!$B:$P,1,FALSE)</f>
        <v>Encargos sobre Folha de Pagamento</v>
      </c>
    </row>
    <row r="686" spans="1:12" ht="15" customHeight="1" x14ac:dyDescent="0.3">
      <c r="A686" s="82" t="str">
        <f t="shared" si="20"/>
        <v>2016</v>
      </c>
      <c r="B686" s="72" t="s">
        <v>131</v>
      </c>
      <c r="C686" s="73" t="s">
        <v>132</v>
      </c>
      <c r="D686" s="74" t="str">
        <f t="shared" si="21"/>
        <v>abr/2016</v>
      </c>
      <c r="E686" s="53">
        <v>42468</v>
      </c>
      <c r="F686" s="75" t="s">
        <v>133</v>
      </c>
      <c r="G686" s="72"/>
      <c r="H686" s="49" t="s">
        <v>713</v>
      </c>
      <c r="I686" s="49" t="s">
        <v>135</v>
      </c>
      <c r="J686" s="76">
        <v>-6615.33</v>
      </c>
      <c r="K686" s="83" t="str">
        <f>IFERROR(IFERROR(VLOOKUP(I686,'DE-PARA'!B:D,3,0),VLOOKUP(I686,'DE-PARA'!C:D,2,0)),"NÃO ENCONTRADO")</f>
        <v>Pessoal</v>
      </c>
      <c r="L686" s="50" t="str">
        <f>VLOOKUP(K686,'Base -Receita-Despesa'!$B:$P,1,FALSE)</f>
        <v>Pessoal</v>
      </c>
    </row>
    <row r="687" spans="1:12" ht="15" customHeight="1" x14ac:dyDescent="0.3">
      <c r="A687" s="82" t="str">
        <f t="shared" si="20"/>
        <v>2016</v>
      </c>
      <c r="B687" s="72" t="s">
        <v>131</v>
      </c>
      <c r="C687" s="73" t="s">
        <v>132</v>
      </c>
      <c r="D687" s="74" t="str">
        <f t="shared" si="21"/>
        <v>abr/2016</v>
      </c>
      <c r="E687" s="53">
        <v>42468</v>
      </c>
      <c r="F687" s="75" t="s">
        <v>133</v>
      </c>
      <c r="G687" s="72"/>
      <c r="H687" s="49" t="s">
        <v>397</v>
      </c>
      <c r="I687" s="49" t="s">
        <v>135</v>
      </c>
      <c r="J687" s="76">
        <v>-887.36</v>
      </c>
      <c r="K687" s="83" t="str">
        <f>IFERROR(IFERROR(VLOOKUP(I687,'DE-PARA'!B:D,3,0),VLOOKUP(I687,'DE-PARA'!C:D,2,0)),"NÃO ENCONTRADO")</f>
        <v>Pessoal</v>
      </c>
      <c r="L687" s="50" t="str">
        <f>VLOOKUP(K687,'Base -Receita-Despesa'!$B:$P,1,FALSE)</f>
        <v>Pessoal</v>
      </c>
    </row>
    <row r="688" spans="1:12" ht="15" customHeight="1" x14ac:dyDescent="0.3">
      <c r="A688" s="82" t="str">
        <f t="shared" si="20"/>
        <v>2016</v>
      </c>
      <c r="B688" s="72" t="s">
        <v>131</v>
      </c>
      <c r="C688" s="73" t="s">
        <v>132</v>
      </c>
      <c r="D688" s="74" t="str">
        <f t="shared" si="21"/>
        <v>abr/2016</v>
      </c>
      <c r="E688" s="53">
        <v>42468</v>
      </c>
      <c r="F688" s="75">
        <v>4421</v>
      </c>
      <c r="G688" s="72"/>
      <c r="H688" s="49" t="s">
        <v>714</v>
      </c>
      <c r="I688" s="49" t="s">
        <v>135</v>
      </c>
      <c r="J688" s="76">
        <v>158.75</v>
      </c>
      <c r="K688" s="83" t="str">
        <f>IFERROR(IFERROR(VLOOKUP(I688,'DE-PARA'!B:D,3,0),VLOOKUP(I688,'DE-PARA'!C:D,2,0)),"NÃO ENCONTRADO")</f>
        <v>Pessoal</v>
      </c>
      <c r="L688" s="50" t="str">
        <f>VLOOKUP(K688,'Base -Receita-Despesa'!$B:$P,1,FALSE)</f>
        <v>Pessoal</v>
      </c>
    </row>
    <row r="689" spans="1:12" ht="15" customHeight="1" x14ac:dyDescent="0.3">
      <c r="A689" s="82" t="str">
        <f t="shared" si="20"/>
        <v>2016</v>
      </c>
      <c r="B689" s="72" t="s">
        <v>131</v>
      </c>
      <c r="C689" s="73" t="s">
        <v>132</v>
      </c>
      <c r="D689" s="74" t="str">
        <f t="shared" si="21"/>
        <v>abr/2016</v>
      </c>
      <c r="E689" s="53">
        <v>42468</v>
      </c>
      <c r="F689" s="75">
        <v>63087</v>
      </c>
      <c r="G689" s="72"/>
      <c r="H689" s="49" t="s">
        <v>715</v>
      </c>
      <c r="I689" s="49" t="s">
        <v>135</v>
      </c>
      <c r="J689" s="76">
        <v>-70.59</v>
      </c>
      <c r="K689" s="83" t="str">
        <f>IFERROR(IFERROR(VLOOKUP(I689,'DE-PARA'!B:D,3,0),VLOOKUP(I689,'DE-PARA'!C:D,2,0)),"NÃO ENCONTRADO")</f>
        <v>Pessoal</v>
      </c>
      <c r="L689" s="50" t="str">
        <f>VLOOKUP(K689,'Base -Receita-Despesa'!$B:$P,1,FALSE)</f>
        <v>Pessoal</v>
      </c>
    </row>
    <row r="690" spans="1:12" ht="15" customHeight="1" x14ac:dyDescent="0.3">
      <c r="A690" s="82" t="str">
        <f t="shared" si="20"/>
        <v>2016</v>
      </c>
      <c r="B690" s="72" t="s">
        <v>131</v>
      </c>
      <c r="C690" s="73" t="s">
        <v>132</v>
      </c>
      <c r="D690" s="74" t="str">
        <f t="shared" si="21"/>
        <v>abr/2016</v>
      </c>
      <c r="E690" s="53">
        <v>42468</v>
      </c>
      <c r="F690" s="75">
        <v>63845</v>
      </c>
      <c r="G690" s="72"/>
      <c r="H690" s="49" t="s">
        <v>716</v>
      </c>
      <c r="I690" s="49" t="s">
        <v>135</v>
      </c>
      <c r="J690" s="76">
        <v>-55.16</v>
      </c>
      <c r="K690" s="83" t="str">
        <f>IFERROR(IFERROR(VLOOKUP(I690,'DE-PARA'!B:D,3,0),VLOOKUP(I690,'DE-PARA'!C:D,2,0)),"NÃO ENCONTRADO")</f>
        <v>Pessoal</v>
      </c>
      <c r="L690" s="50" t="str">
        <f>VLOOKUP(K690,'Base -Receita-Despesa'!$B:$P,1,FALSE)</f>
        <v>Pessoal</v>
      </c>
    </row>
    <row r="691" spans="1:12" ht="15" customHeight="1" x14ac:dyDescent="0.3">
      <c r="A691" s="82" t="str">
        <f t="shared" si="20"/>
        <v>2016</v>
      </c>
      <c r="B691" s="72" t="s">
        <v>131</v>
      </c>
      <c r="C691" s="73" t="s">
        <v>132</v>
      </c>
      <c r="D691" s="74" t="str">
        <f t="shared" si="21"/>
        <v>abr/2016</v>
      </c>
      <c r="E691" s="53">
        <v>42468</v>
      </c>
      <c r="F691" s="75">
        <v>121857</v>
      </c>
      <c r="G691" s="72"/>
      <c r="H691" s="49" t="s">
        <v>717</v>
      </c>
      <c r="I691" s="49" t="s">
        <v>135</v>
      </c>
      <c r="J691" s="76">
        <v>-305.94</v>
      </c>
      <c r="K691" s="83" t="str">
        <f>IFERROR(IFERROR(VLOOKUP(I691,'DE-PARA'!B:D,3,0),VLOOKUP(I691,'DE-PARA'!C:D,2,0)),"NÃO ENCONTRADO")</f>
        <v>Pessoal</v>
      </c>
      <c r="L691" s="50" t="str">
        <f>VLOOKUP(K691,'Base -Receita-Despesa'!$B:$P,1,FALSE)</f>
        <v>Pessoal</v>
      </c>
    </row>
    <row r="692" spans="1:12" ht="15" customHeight="1" x14ac:dyDescent="0.3">
      <c r="A692" s="82" t="str">
        <f t="shared" si="20"/>
        <v>2016</v>
      </c>
      <c r="B692" s="72" t="s">
        <v>131</v>
      </c>
      <c r="C692" s="73" t="s">
        <v>132</v>
      </c>
      <c r="D692" s="74" t="str">
        <f t="shared" si="21"/>
        <v>abr/2016</v>
      </c>
      <c r="E692" s="53">
        <v>42468</v>
      </c>
      <c r="F692" s="75">
        <v>65803</v>
      </c>
      <c r="G692" s="72"/>
      <c r="H692" s="49" t="s">
        <v>718</v>
      </c>
      <c r="I692" s="49" t="s">
        <v>135</v>
      </c>
      <c r="J692" s="76">
        <v>-65.12</v>
      </c>
      <c r="K692" s="83" t="str">
        <f>IFERROR(IFERROR(VLOOKUP(I692,'DE-PARA'!B:D,3,0),VLOOKUP(I692,'DE-PARA'!C:D,2,0)),"NÃO ENCONTRADO")</f>
        <v>Pessoal</v>
      </c>
      <c r="L692" s="50" t="str">
        <f>VLOOKUP(K692,'Base -Receita-Despesa'!$B:$P,1,FALSE)</f>
        <v>Pessoal</v>
      </c>
    </row>
    <row r="693" spans="1:12" ht="15" customHeight="1" x14ac:dyDescent="0.3">
      <c r="A693" s="82" t="str">
        <f t="shared" si="20"/>
        <v>2016</v>
      </c>
      <c r="B693" s="72" t="s">
        <v>131</v>
      </c>
      <c r="C693" s="73" t="s">
        <v>132</v>
      </c>
      <c r="D693" s="74" t="str">
        <f t="shared" si="21"/>
        <v>abr/2016</v>
      </c>
      <c r="E693" s="53">
        <v>42468</v>
      </c>
      <c r="F693" s="75">
        <v>67045</v>
      </c>
      <c r="G693" s="72"/>
      <c r="H693" s="49" t="s">
        <v>719</v>
      </c>
      <c r="I693" s="49" t="s">
        <v>135</v>
      </c>
      <c r="J693" s="76">
        <v>-281.60000000000002</v>
      </c>
      <c r="K693" s="83" t="str">
        <f>IFERROR(IFERROR(VLOOKUP(I693,'DE-PARA'!B:D,3,0),VLOOKUP(I693,'DE-PARA'!C:D,2,0)),"NÃO ENCONTRADO")</f>
        <v>Pessoal</v>
      </c>
      <c r="L693" s="50" t="str">
        <f>VLOOKUP(K693,'Base -Receita-Despesa'!$B:$P,1,FALSE)</f>
        <v>Pessoal</v>
      </c>
    </row>
    <row r="694" spans="1:12" ht="15" customHeight="1" x14ac:dyDescent="0.3">
      <c r="A694" s="82" t="str">
        <f t="shared" si="20"/>
        <v>2016</v>
      </c>
      <c r="B694" s="72" t="s">
        <v>131</v>
      </c>
      <c r="C694" s="73" t="s">
        <v>132</v>
      </c>
      <c r="D694" s="74" t="str">
        <f t="shared" si="21"/>
        <v>abr/2016</v>
      </c>
      <c r="E694" s="53">
        <v>42468</v>
      </c>
      <c r="F694" s="75">
        <v>67984</v>
      </c>
      <c r="G694" s="72"/>
      <c r="H694" s="49" t="s">
        <v>720</v>
      </c>
      <c r="I694" s="49" t="s">
        <v>135</v>
      </c>
      <c r="J694" s="76">
        <v>-180.64</v>
      </c>
      <c r="K694" s="83" t="str">
        <f>IFERROR(IFERROR(VLOOKUP(I694,'DE-PARA'!B:D,3,0),VLOOKUP(I694,'DE-PARA'!C:D,2,0)),"NÃO ENCONTRADO")</f>
        <v>Pessoal</v>
      </c>
      <c r="L694" s="50" t="str">
        <f>VLOOKUP(K694,'Base -Receita-Despesa'!$B:$P,1,FALSE)</f>
        <v>Pessoal</v>
      </c>
    </row>
    <row r="695" spans="1:12" ht="15" customHeight="1" x14ac:dyDescent="0.3">
      <c r="A695" s="82" t="str">
        <f t="shared" si="20"/>
        <v>2016</v>
      </c>
      <c r="B695" s="72" t="s">
        <v>131</v>
      </c>
      <c r="C695" s="73" t="s">
        <v>132</v>
      </c>
      <c r="D695" s="74" t="str">
        <f t="shared" si="21"/>
        <v>abr/2016</v>
      </c>
      <c r="E695" s="53">
        <v>42468</v>
      </c>
      <c r="F695" s="75">
        <v>114956</v>
      </c>
      <c r="G695" s="72"/>
      <c r="H695" s="49" t="s">
        <v>721</v>
      </c>
      <c r="I695" s="49" t="s">
        <v>135</v>
      </c>
      <c r="J695" s="76">
        <v>-1859.84</v>
      </c>
      <c r="K695" s="83" t="str">
        <f>IFERROR(IFERROR(VLOOKUP(I695,'DE-PARA'!B:D,3,0),VLOOKUP(I695,'DE-PARA'!C:D,2,0)),"NÃO ENCONTRADO")</f>
        <v>Pessoal</v>
      </c>
      <c r="L695" s="50" t="str">
        <f>VLOOKUP(K695,'Base -Receita-Despesa'!$B:$P,1,FALSE)</f>
        <v>Pessoal</v>
      </c>
    </row>
    <row r="696" spans="1:12" ht="15" customHeight="1" x14ac:dyDescent="0.3">
      <c r="A696" s="82" t="str">
        <f t="shared" si="20"/>
        <v>2016</v>
      </c>
      <c r="B696" s="72" t="s">
        <v>131</v>
      </c>
      <c r="C696" s="73" t="s">
        <v>132</v>
      </c>
      <c r="D696" s="74" t="str">
        <f t="shared" si="21"/>
        <v>abr/2016</v>
      </c>
      <c r="E696" s="53">
        <v>42468</v>
      </c>
      <c r="F696" s="75">
        <v>68566</v>
      </c>
      <c r="G696" s="72"/>
      <c r="H696" s="49" t="s">
        <v>722</v>
      </c>
      <c r="I696" s="49" t="s">
        <v>135</v>
      </c>
      <c r="J696" s="76">
        <v>-55.47</v>
      </c>
      <c r="K696" s="83" t="str">
        <f>IFERROR(IFERROR(VLOOKUP(I696,'DE-PARA'!B:D,3,0),VLOOKUP(I696,'DE-PARA'!C:D,2,0)),"NÃO ENCONTRADO")</f>
        <v>Pessoal</v>
      </c>
      <c r="L696" s="50" t="str">
        <f>VLOOKUP(K696,'Base -Receita-Despesa'!$B:$P,1,FALSE)</f>
        <v>Pessoal</v>
      </c>
    </row>
    <row r="697" spans="1:12" ht="15" customHeight="1" x14ac:dyDescent="0.3">
      <c r="A697" s="82" t="str">
        <f t="shared" si="20"/>
        <v>2016</v>
      </c>
      <c r="B697" s="72" t="s">
        <v>131</v>
      </c>
      <c r="C697" s="73" t="s">
        <v>132</v>
      </c>
      <c r="D697" s="74" t="str">
        <f t="shared" si="21"/>
        <v>abr/2016</v>
      </c>
      <c r="E697" s="53">
        <v>42468</v>
      </c>
      <c r="F697" s="75">
        <v>69345</v>
      </c>
      <c r="G697" s="72"/>
      <c r="H697" s="49" t="s">
        <v>723</v>
      </c>
      <c r="I697" s="49" t="s">
        <v>135</v>
      </c>
      <c r="J697" s="76">
        <v>-60.74</v>
      </c>
      <c r="K697" s="83" t="str">
        <f>IFERROR(IFERROR(VLOOKUP(I697,'DE-PARA'!B:D,3,0),VLOOKUP(I697,'DE-PARA'!C:D,2,0)),"NÃO ENCONTRADO")</f>
        <v>Pessoal</v>
      </c>
      <c r="L697" s="50" t="str">
        <f>VLOOKUP(K697,'Base -Receita-Despesa'!$B:$P,1,FALSE)</f>
        <v>Pessoal</v>
      </c>
    </row>
    <row r="698" spans="1:12" ht="15" customHeight="1" x14ac:dyDescent="0.3">
      <c r="A698" s="82" t="str">
        <f t="shared" si="20"/>
        <v>2016</v>
      </c>
      <c r="B698" s="72" t="s">
        <v>131</v>
      </c>
      <c r="C698" s="73" t="s">
        <v>132</v>
      </c>
      <c r="D698" s="74" t="str">
        <f t="shared" si="21"/>
        <v>abr/2016</v>
      </c>
      <c r="E698" s="53">
        <v>42468</v>
      </c>
      <c r="F698" s="75">
        <v>18029</v>
      </c>
      <c r="G698" s="72"/>
      <c r="H698" s="49" t="s">
        <v>724</v>
      </c>
      <c r="I698" s="49" t="s">
        <v>135</v>
      </c>
      <c r="J698" s="76">
        <v>-189.94</v>
      </c>
      <c r="K698" s="83" t="str">
        <f>IFERROR(IFERROR(VLOOKUP(I698,'DE-PARA'!B:D,3,0),VLOOKUP(I698,'DE-PARA'!C:D,2,0)),"NÃO ENCONTRADO")</f>
        <v>Pessoal</v>
      </c>
      <c r="L698" s="50" t="str">
        <f>VLOOKUP(K698,'Base -Receita-Despesa'!$B:$P,1,FALSE)</f>
        <v>Pessoal</v>
      </c>
    </row>
    <row r="699" spans="1:12" ht="15" customHeight="1" x14ac:dyDescent="0.3">
      <c r="A699" s="82" t="str">
        <f t="shared" si="20"/>
        <v>2016</v>
      </c>
      <c r="B699" s="72" t="s">
        <v>131</v>
      </c>
      <c r="C699" s="73" t="s">
        <v>132</v>
      </c>
      <c r="D699" s="74" t="str">
        <f t="shared" si="21"/>
        <v>abr/2016</v>
      </c>
      <c r="E699" s="53">
        <v>42468</v>
      </c>
      <c r="F699" s="75">
        <v>125389</v>
      </c>
      <c r="G699" s="72"/>
      <c r="H699" s="49" t="s">
        <v>725</v>
      </c>
      <c r="I699" s="49" t="s">
        <v>135</v>
      </c>
      <c r="J699" s="76">
        <v>-1035.77</v>
      </c>
      <c r="K699" s="83" t="str">
        <f>IFERROR(IFERROR(VLOOKUP(I699,'DE-PARA'!B:D,3,0),VLOOKUP(I699,'DE-PARA'!C:D,2,0)),"NÃO ENCONTRADO")</f>
        <v>Pessoal</v>
      </c>
      <c r="L699" s="50" t="str">
        <f>VLOOKUP(K699,'Base -Receita-Despesa'!$B:$P,1,FALSE)</f>
        <v>Pessoal</v>
      </c>
    </row>
    <row r="700" spans="1:12" ht="15" customHeight="1" x14ac:dyDescent="0.3">
      <c r="A700" s="82" t="str">
        <f t="shared" si="20"/>
        <v>2016</v>
      </c>
      <c r="B700" s="72" t="s">
        <v>131</v>
      </c>
      <c r="C700" s="73" t="s">
        <v>132</v>
      </c>
      <c r="D700" s="74" t="str">
        <f t="shared" si="21"/>
        <v>abr/2016</v>
      </c>
      <c r="E700" s="53">
        <v>42468</v>
      </c>
      <c r="F700" s="75">
        <v>70538</v>
      </c>
      <c r="G700" s="72"/>
      <c r="H700" s="49" t="s">
        <v>726</v>
      </c>
      <c r="I700" s="49" t="s">
        <v>135</v>
      </c>
      <c r="J700" s="76">
        <v>-632.44000000000005</v>
      </c>
      <c r="K700" s="83" t="str">
        <f>IFERROR(IFERROR(VLOOKUP(I700,'DE-PARA'!B:D,3,0),VLOOKUP(I700,'DE-PARA'!C:D,2,0)),"NÃO ENCONTRADO")</f>
        <v>Pessoal</v>
      </c>
      <c r="L700" s="50" t="str">
        <f>VLOOKUP(K700,'Base -Receita-Despesa'!$B:$P,1,FALSE)</f>
        <v>Pessoal</v>
      </c>
    </row>
    <row r="701" spans="1:12" ht="15" customHeight="1" x14ac:dyDescent="0.3">
      <c r="A701" s="82" t="str">
        <f t="shared" si="20"/>
        <v>2016</v>
      </c>
      <c r="B701" s="72" t="s">
        <v>131</v>
      </c>
      <c r="C701" s="73" t="s">
        <v>132</v>
      </c>
      <c r="D701" s="74" t="str">
        <f t="shared" si="21"/>
        <v>abr/2016</v>
      </c>
      <c r="E701" s="53">
        <v>42468</v>
      </c>
      <c r="F701" s="75">
        <v>79071</v>
      </c>
      <c r="G701" s="72"/>
      <c r="H701" s="49" t="s">
        <v>727</v>
      </c>
      <c r="I701" s="49" t="s">
        <v>135</v>
      </c>
      <c r="J701" s="76">
        <v>-40.04</v>
      </c>
      <c r="K701" s="83" t="str">
        <f>IFERROR(IFERROR(VLOOKUP(I701,'DE-PARA'!B:D,3,0),VLOOKUP(I701,'DE-PARA'!C:D,2,0)),"NÃO ENCONTRADO")</f>
        <v>Pessoal</v>
      </c>
      <c r="L701" s="50" t="str">
        <f>VLOOKUP(K701,'Base -Receita-Despesa'!$B:$P,1,FALSE)</f>
        <v>Pessoal</v>
      </c>
    </row>
    <row r="702" spans="1:12" ht="15" customHeight="1" x14ac:dyDescent="0.3">
      <c r="A702" s="82" t="str">
        <f t="shared" si="20"/>
        <v>2016</v>
      </c>
      <c r="B702" s="72" t="s">
        <v>131</v>
      </c>
      <c r="C702" s="73" t="s">
        <v>132</v>
      </c>
      <c r="D702" s="74" t="str">
        <f t="shared" si="21"/>
        <v>abr/2016</v>
      </c>
      <c r="E702" s="53">
        <v>42468</v>
      </c>
      <c r="F702" s="75">
        <v>83981</v>
      </c>
      <c r="G702" s="72"/>
      <c r="H702" s="49" t="s">
        <v>728</v>
      </c>
      <c r="I702" s="49" t="s">
        <v>135</v>
      </c>
      <c r="J702" s="76">
        <v>-110.64</v>
      </c>
      <c r="K702" s="83" t="str">
        <f>IFERROR(IFERROR(VLOOKUP(I702,'DE-PARA'!B:D,3,0),VLOOKUP(I702,'DE-PARA'!C:D,2,0)),"NÃO ENCONTRADO")</f>
        <v>Pessoal</v>
      </c>
      <c r="L702" s="50" t="str">
        <f>VLOOKUP(K702,'Base -Receita-Despesa'!$B:$P,1,FALSE)</f>
        <v>Pessoal</v>
      </c>
    </row>
    <row r="703" spans="1:12" ht="15" customHeight="1" x14ac:dyDescent="0.3">
      <c r="A703" s="82" t="str">
        <f t="shared" si="20"/>
        <v>2016</v>
      </c>
      <c r="B703" s="72" t="s">
        <v>131</v>
      </c>
      <c r="C703" s="73" t="s">
        <v>132</v>
      </c>
      <c r="D703" s="74" t="str">
        <f t="shared" si="21"/>
        <v>abr/2016</v>
      </c>
      <c r="E703" s="53">
        <v>42468</v>
      </c>
      <c r="F703" s="75">
        <v>85538</v>
      </c>
      <c r="G703" s="72"/>
      <c r="H703" s="49" t="s">
        <v>729</v>
      </c>
      <c r="I703" s="49" t="s">
        <v>135</v>
      </c>
      <c r="J703" s="76">
        <v>-106.7</v>
      </c>
      <c r="K703" s="83" t="str">
        <f>IFERROR(IFERROR(VLOOKUP(I703,'DE-PARA'!B:D,3,0),VLOOKUP(I703,'DE-PARA'!C:D,2,0)),"NÃO ENCONTRADO")</f>
        <v>Pessoal</v>
      </c>
      <c r="L703" s="50" t="str">
        <f>VLOOKUP(K703,'Base -Receita-Despesa'!$B:$P,1,FALSE)</f>
        <v>Pessoal</v>
      </c>
    </row>
    <row r="704" spans="1:12" ht="15" customHeight="1" x14ac:dyDescent="0.3">
      <c r="A704" s="82" t="str">
        <f t="shared" si="20"/>
        <v>2016</v>
      </c>
      <c r="B704" s="72" t="s">
        <v>131</v>
      </c>
      <c r="C704" s="73" t="s">
        <v>132</v>
      </c>
      <c r="D704" s="74" t="str">
        <f t="shared" si="21"/>
        <v>abr/2016</v>
      </c>
      <c r="E704" s="53">
        <v>42468</v>
      </c>
      <c r="F704" s="75">
        <v>126441</v>
      </c>
      <c r="G704" s="72"/>
      <c r="H704" s="49" t="s">
        <v>730</v>
      </c>
      <c r="I704" s="49" t="s">
        <v>135</v>
      </c>
      <c r="J704" s="76">
        <v>-1879.83</v>
      </c>
      <c r="K704" s="83" t="str">
        <f>IFERROR(IFERROR(VLOOKUP(I704,'DE-PARA'!B:D,3,0),VLOOKUP(I704,'DE-PARA'!C:D,2,0)),"NÃO ENCONTRADO")</f>
        <v>Pessoal</v>
      </c>
      <c r="L704" s="50" t="str">
        <f>VLOOKUP(K704,'Base -Receita-Despesa'!$B:$P,1,FALSE)</f>
        <v>Pessoal</v>
      </c>
    </row>
    <row r="705" spans="1:12" ht="15" customHeight="1" x14ac:dyDescent="0.3">
      <c r="A705" s="82" t="str">
        <f t="shared" si="20"/>
        <v>2016</v>
      </c>
      <c r="B705" s="72" t="s">
        <v>131</v>
      </c>
      <c r="C705" s="73" t="s">
        <v>132</v>
      </c>
      <c r="D705" s="74" t="str">
        <f t="shared" si="21"/>
        <v>abr/2016</v>
      </c>
      <c r="E705" s="53">
        <v>42468</v>
      </c>
      <c r="F705" s="75">
        <v>89084</v>
      </c>
      <c r="G705" s="72"/>
      <c r="H705" s="49" t="s">
        <v>731</v>
      </c>
      <c r="I705" s="49" t="s">
        <v>135</v>
      </c>
      <c r="J705" s="76">
        <v>-24.88</v>
      </c>
      <c r="K705" s="83" t="str">
        <f>IFERROR(IFERROR(VLOOKUP(I705,'DE-PARA'!B:D,3,0),VLOOKUP(I705,'DE-PARA'!C:D,2,0)),"NÃO ENCONTRADO")</f>
        <v>Pessoal</v>
      </c>
      <c r="L705" s="50" t="str">
        <f>VLOOKUP(K705,'Base -Receita-Despesa'!$B:$P,1,FALSE)</f>
        <v>Pessoal</v>
      </c>
    </row>
    <row r="706" spans="1:12" ht="15" customHeight="1" x14ac:dyDescent="0.3">
      <c r="A706" s="82" t="str">
        <f t="shared" si="20"/>
        <v>2016</v>
      </c>
      <c r="B706" s="72" t="s">
        <v>131</v>
      </c>
      <c r="C706" s="73" t="s">
        <v>132</v>
      </c>
      <c r="D706" s="74" t="str">
        <f t="shared" si="21"/>
        <v>abr/2016</v>
      </c>
      <c r="E706" s="53">
        <v>42468</v>
      </c>
      <c r="F706" s="75">
        <v>122434</v>
      </c>
      <c r="G706" s="72"/>
      <c r="H706" s="49" t="s">
        <v>732</v>
      </c>
      <c r="I706" s="49" t="s">
        <v>135</v>
      </c>
      <c r="J706" s="76">
        <v>-4550.47</v>
      </c>
      <c r="K706" s="83" t="str">
        <f>IFERROR(IFERROR(VLOOKUP(I706,'DE-PARA'!B:D,3,0),VLOOKUP(I706,'DE-PARA'!C:D,2,0)),"NÃO ENCONTRADO")</f>
        <v>Pessoal</v>
      </c>
      <c r="L706" s="50" t="str">
        <f>VLOOKUP(K706,'Base -Receita-Despesa'!$B:$P,1,FALSE)</f>
        <v>Pessoal</v>
      </c>
    </row>
    <row r="707" spans="1:12" ht="15" customHeight="1" x14ac:dyDescent="0.3">
      <c r="A707" s="82" t="str">
        <f t="shared" si="20"/>
        <v>2016</v>
      </c>
      <c r="B707" s="72" t="s">
        <v>131</v>
      </c>
      <c r="C707" s="73" t="s">
        <v>132</v>
      </c>
      <c r="D707" s="74" t="str">
        <f t="shared" si="21"/>
        <v>abr/2016</v>
      </c>
      <c r="E707" s="53">
        <v>42468</v>
      </c>
      <c r="F707" s="75">
        <v>97060</v>
      </c>
      <c r="G707" s="72"/>
      <c r="H707" s="49" t="s">
        <v>733</v>
      </c>
      <c r="I707" s="49" t="s">
        <v>135</v>
      </c>
      <c r="J707" s="76">
        <v>-161.57</v>
      </c>
      <c r="K707" s="83" t="str">
        <f>IFERROR(IFERROR(VLOOKUP(I707,'DE-PARA'!B:D,3,0),VLOOKUP(I707,'DE-PARA'!C:D,2,0)),"NÃO ENCONTRADO")</f>
        <v>Pessoal</v>
      </c>
      <c r="L707" s="50" t="str">
        <f>VLOOKUP(K707,'Base -Receita-Despesa'!$B:$P,1,FALSE)</f>
        <v>Pessoal</v>
      </c>
    </row>
    <row r="708" spans="1:12" ht="15" customHeight="1" x14ac:dyDescent="0.3">
      <c r="A708" s="82" t="str">
        <f t="shared" ref="A708:A771" si="22">IF(K708="NÃO ENCONTRADO",0,RIGHT(D708,4))</f>
        <v>2016</v>
      </c>
      <c r="B708" s="72" t="s">
        <v>131</v>
      </c>
      <c r="C708" s="73" t="s">
        <v>132</v>
      </c>
      <c r="D708" s="74" t="str">
        <f t="shared" ref="D708:D771" si="23">TEXT(E708,"mmm/aaaa")</f>
        <v>abr/2016</v>
      </c>
      <c r="E708" s="53">
        <v>42468</v>
      </c>
      <c r="F708" s="75">
        <v>18185</v>
      </c>
      <c r="G708" s="72"/>
      <c r="H708" s="49" t="s">
        <v>734</v>
      </c>
      <c r="I708" s="49" t="s">
        <v>135</v>
      </c>
      <c r="J708" s="76">
        <v>-101.23</v>
      </c>
      <c r="K708" s="83" t="str">
        <f>IFERROR(IFERROR(VLOOKUP(I708,'DE-PARA'!B:D,3,0),VLOOKUP(I708,'DE-PARA'!C:D,2,0)),"NÃO ENCONTRADO")</f>
        <v>Pessoal</v>
      </c>
      <c r="L708" s="50" t="str">
        <f>VLOOKUP(K708,'Base -Receita-Despesa'!$B:$P,1,FALSE)</f>
        <v>Pessoal</v>
      </c>
    </row>
    <row r="709" spans="1:12" ht="15" customHeight="1" x14ac:dyDescent="0.3">
      <c r="A709" s="82" t="str">
        <f t="shared" si="22"/>
        <v>2016</v>
      </c>
      <c r="B709" s="72" t="s">
        <v>131</v>
      </c>
      <c r="C709" s="73" t="s">
        <v>132</v>
      </c>
      <c r="D709" s="74" t="str">
        <f t="shared" si="23"/>
        <v>abr/2016</v>
      </c>
      <c r="E709" s="53">
        <v>42468</v>
      </c>
      <c r="F709" s="75">
        <v>17916</v>
      </c>
      <c r="G709" s="72"/>
      <c r="H709" s="49" t="s">
        <v>735</v>
      </c>
      <c r="I709" s="49" t="s">
        <v>135</v>
      </c>
      <c r="J709" s="76">
        <v>-714.78</v>
      </c>
      <c r="K709" s="83" t="str">
        <f>IFERROR(IFERROR(VLOOKUP(I709,'DE-PARA'!B:D,3,0),VLOOKUP(I709,'DE-PARA'!C:D,2,0)),"NÃO ENCONTRADO")</f>
        <v>Pessoal</v>
      </c>
      <c r="L709" s="50" t="str">
        <f>VLOOKUP(K709,'Base -Receita-Despesa'!$B:$P,1,FALSE)</f>
        <v>Pessoal</v>
      </c>
    </row>
    <row r="710" spans="1:12" ht="15" customHeight="1" x14ac:dyDescent="0.3">
      <c r="A710" s="82" t="str">
        <f t="shared" si="22"/>
        <v>2016</v>
      </c>
      <c r="B710" s="72" t="s">
        <v>131</v>
      </c>
      <c r="C710" s="73" t="s">
        <v>132</v>
      </c>
      <c r="D710" s="74" t="str">
        <f t="shared" si="23"/>
        <v>abr/2016</v>
      </c>
      <c r="E710" s="53">
        <v>42468</v>
      </c>
      <c r="F710" s="75">
        <v>98212</v>
      </c>
      <c r="G710" s="72"/>
      <c r="H710" s="49" t="s">
        <v>736</v>
      </c>
      <c r="I710" s="49" t="s">
        <v>135</v>
      </c>
      <c r="J710" s="76">
        <v>-854.88</v>
      </c>
      <c r="K710" s="83" t="str">
        <f>IFERROR(IFERROR(VLOOKUP(I710,'DE-PARA'!B:D,3,0),VLOOKUP(I710,'DE-PARA'!C:D,2,0)),"NÃO ENCONTRADO")</f>
        <v>Pessoal</v>
      </c>
      <c r="L710" s="50" t="str">
        <f>VLOOKUP(K710,'Base -Receita-Despesa'!$B:$P,1,FALSE)</f>
        <v>Pessoal</v>
      </c>
    </row>
    <row r="711" spans="1:12" ht="15" customHeight="1" x14ac:dyDescent="0.3">
      <c r="A711" s="82" t="str">
        <f t="shared" si="22"/>
        <v>2016</v>
      </c>
      <c r="B711" s="72" t="s">
        <v>131</v>
      </c>
      <c r="C711" s="73" t="s">
        <v>132</v>
      </c>
      <c r="D711" s="74" t="str">
        <f t="shared" si="23"/>
        <v>abr/2016</v>
      </c>
      <c r="E711" s="53">
        <v>42468</v>
      </c>
      <c r="F711" s="75">
        <v>99063</v>
      </c>
      <c r="G711" s="72"/>
      <c r="H711" s="49" t="s">
        <v>737</v>
      </c>
      <c r="I711" s="49" t="s">
        <v>135</v>
      </c>
      <c r="J711" s="76">
        <v>-251.78</v>
      </c>
      <c r="K711" s="83" t="str">
        <f>IFERROR(IFERROR(VLOOKUP(I711,'DE-PARA'!B:D,3,0),VLOOKUP(I711,'DE-PARA'!C:D,2,0)),"NÃO ENCONTRADO")</f>
        <v>Pessoal</v>
      </c>
      <c r="L711" s="50" t="str">
        <f>VLOOKUP(K711,'Base -Receita-Despesa'!$B:$P,1,FALSE)</f>
        <v>Pessoal</v>
      </c>
    </row>
    <row r="712" spans="1:12" ht="15" customHeight="1" x14ac:dyDescent="0.3">
      <c r="A712" s="82" t="str">
        <f t="shared" si="22"/>
        <v>2016</v>
      </c>
      <c r="B712" s="72" t="s">
        <v>131</v>
      </c>
      <c r="C712" s="73" t="s">
        <v>132</v>
      </c>
      <c r="D712" s="74" t="str">
        <f t="shared" si="23"/>
        <v>abr/2016</v>
      </c>
      <c r="E712" s="53">
        <v>42468</v>
      </c>
      <c r="F712" s="75">
        <v>17717</v>
      </c>
      <c r="G712" s="72"/>
      <c r="H712" s="49" t="s">
        <v>738</v>
      </c>
      <c r="I712" s="49" t="s">
        <v>135</v>
      </c>
      <c r="J712" s="76">
        <v>-37.020000000000003</v>
      </c>
      <c r="K712" s="83" t="str">
        <f>IFERROR(IFERROR(VLOOKUP(I712,'DE-PARA'!B:D,3,0),VLOOKUP(I712,'DE-PARA'!C:D,2,0)),"NÃO ENCONTRADO")</f>
        <v>Pessoal</v>
      </c>
      <c r="L712" s="50" t="str">
        <f>VLOOKUP(K712,'Base -Receita-Despesa'!$B:$P,1,FALSE)</f>
        <v>Pessoal</v>
      </c>
    </row>
    <row r="713" spans="1:12" ht="15" customHeight="1" x14ac:dyDescent="0.3">
      <c r="A713" s="82" t="str">
        <f t="shared" si="22"/>
        <v>2016</v>
      </c>
      <c r="B713" s="72" t="s">
        <v>131</v>
      </c>
      <c r="C713" s="73" t="s">
        <v>132</v>
      </c>
      <c r="D713" s="74" t="str">
        <f t="shared" si="23"/>
        <v>abr/2016</v>
      </c>
      <c r="E713" s="53">
        <v>42468</v>
      </c>
      <c r="F713" s="75">
        <v>99806</v>
      </c>
      <c r="G713" s="72"/>
      <c r="H713" s="49" t="s">
        <v>739</v>
      </c>
      <c r="I713" s="49" t="s">
        <v>135</v>
      </c>
      <c r="J713" s="76">
        <v>-29.49</v>
      </c>
      <c r="K713" s="83" t="str">
        <f>IFERROR(IFERROR(VLOOKUP(I713,'DE-PARA'!B:D,3,0),VLOOKUP(I713,'DE-PARA'!C:D,2,0)),"NÃO ENCONTRADO")</f>
        <v>Pessoal</v>
      </c>
      <c r="L713" s="50" t="str">
        <f>VLOOKUP(K713,'Base -Receita-Despesa'!$B:$P,1,FALSE)</f>
        <v>Pessoal</v>
      </c>
    </row>
    <row r="714" spans="1:12" ht="15" customHeight="1" x14ac:dyDescent="0.3">
      <c r="A714" s="82" t="str">
        <f t="shared" si="22"/>
        <v>2016</v>
      </c>
      <c r="B714" s="72" t="s">
        <v>131</v>
      </c>
      <c r="C714" s="73" t="s">
        <v>132</v>
      </c>
      <c r="D714" s="74" t="str">
        <f t="shared" si="23"/>
        <v>abr/2016</v>
      </c>
      <c r="E714" s="53">
        <v>42468</v>
      </c>
      <c r="F714" s="75">
        <v>101962</v>
      </c>
      <c r="G714" s="72"/>
      <c r="H714" s="49" t="s">
        <v>740</v>
      </c>
      <c r="I714" s="49" t="s">
        <v>135</v>
      </c>
      <c r="J714" s="76">
        <v>-399.39</v>
      </c>
      <c r="K714" s="83" t="str">
        <f>IFERROR(IFERROR(VLOOKUP(I714,'DE-PARA'!B:D,3,0),VLOOKUP(I714,'DE-PARA'!C:D,2,0)),"NÃO ENCONTRADO")</f>
        <v>Pessoal</v>
      </c>
      <c r="L714" s="50" t="str">
        <f>VLOOKUP(K714,'Base -Receita-Despesa'!$B:$P,1,FALSE)</f>
        <v>Pessoal</v>
      </c>
    </row>
    <row r="715" spans="1:12" ht="15" customHeight="1" x14ac:dyDescent="0.3">
      <c r="A715" s="82" t="str">
        <f t="shared" si="22"/>
        <v>2016</v>
      </c>
      <c r="B715" s="72" t="s">
        <v>131</v>
      </c>
      <c r="C715" s="73" t="s">
        <v>132</v>
      </c>
      <c r="D715" s="74" t="str">
        <f t="shared" si="23"/>
        <v>abr/2016</v>
      </c>
      <c r="E715" s="53">
        <v>42468</v>
      </c>
      <c r="F715" s="75">
        <v>102710</v>
      </c>
      <c r="G715" s="72"/>
      <c r="H715" s="49" t="s">
        <v>741</v>
      </c>
      <c r="I715" s="49" t="s">
        <v>135</v>
      </c>
      <c r="J715" s="76">
        <v>-648.75</v>
      </c>
      <c r="K715" s="83" t="str">
        <f>IFERROR(IFERROR(VLOOKUP(I715,'DE-PARA'!B:D,3,0),VLOOKUP(I715,'DE-PARA'!C:D,2,0)),"NÃO ENCONTRADO")</f>
        <v>Pessoal</v>
      </c>
      <c r="L715" s="50" t="str">
        <f>VLOOKUP(K715,'Base -Receita-Despesa'!$B:$P,1,FALSE)</f>
        <v>Pessoal</v>
      </c>
    </row>
    <row r="716" spans="1:12" ht="15" customHeight="1" x14ac:dyDescent="0.3">
      <c r="A716" s="82" t="str">
        <f t="shared" si="22"/>
        <v>2016</v>
      </c>
      <c r="B716" s="72" t="s">
        <v>131</v>
      </c>
      <c r="C716" s="73" t="s">
        <v>132</v>
      </c>
      <c r="D716" s="74" t="str">
        <f t="shared" si="23"/>
        <v>abr/2016</v>
      </c>
      <c r="E716" s="53">
        <v>42468</v>
      </c>
      <c r="F716" s="75">
        <v>103365</v>
      </c>
      <c r="G716" s="72"/>
      <c r="H716" s="49" t="s">
        <v>742</v>
      </c>
      <c r="I716" s="49" t="s">
        <v>135</v>
      </c>
      <c r="J716" s="76">
        <v>-77.5</v>
      </c>
      <c r="K716" s="83" t="str">
        <f>IFERROR(IFERROR(VLOOKUP(I716,'DE-PARA'!B:D,3,0),VLOOKUP(I716,'DE-PARA'!C:D,2,0)),"NÃO ENCONTRADO")</f>
        <v>Pessoal</v>
      </c>
      <c r="L716" s="50" t="str">
        <f>VLOOKUP(K716,'Base -Receita-Despesa'!$B:$P,1,FALSE)</f>
        <v>Pessoal</v>
      </c>
    </row>
    <row r="717" spans="1:12" ht="15" customHeight="1" x14ac:dyDescent="0.3">
      <c r="A717" s="82" t="str">
        <f t="shared" si="22"/>
        <v>2016</v>
      </c>
      <c r="B717" s="72" t="s">
        <v>131</v>
      </c>
      <c r="C717" s="73" t="s">
        <v>132</v>
      </c>
      <c r="D717" s="74" t="str">
        <f t="shared" si="23"/>
        <v>abr/2016</v>
      </c>
      <c r="E717" s="53">
        <v>42468</v>
      </c>
      <c r="F717" s="75">
        <v>104354</v>
      </c>
      <c r="G717" s="72"/>
      <c r="H717" s="49" t="s">
        <v>743</v>
      </c>
      <c r="I717" s="49" t="s">
        <v>135</v>
      </c>
      <c r="J717" s="76">
        <v>-341.78</v>
      </c>
      <c r="K717" s="83" t="str">
        <f>IFERROR(IFERROR(VLOOKUP(I717,'DE-PARA'!B:D,3,0),VLOOKUP(I717,'DE-PARA'!C:D,2,0)),"NÃO ENCONTRADO")</f>
        <v>Pessoal</v>
      </c>
      <c r="L717" s="50" t="str">
        <f>VLOOKUP(K717,'Base -Receita-Despesa'!$B:$P,1,FALSE)</f>
        <v>Pessoal</v>
      </c>
    </row>
    <row r="718" spans="1:12" ht="15" customHeight="1" x14ac:dyDescent="0.3">
      <c r="A718" s="82" t="str">
        <f t="shared" si="22"/>
        <v>2016</v>
      </c>
      <c r="B718" s="72" t="s">
        <v>131</v>
      </c>
      <c r="C718" s="73" t="s">
        <v>132</v>
      </c>
      <c r="D718" s="74" t="str">
        <f t="shared" si="23"/>
        <v>abr/2016</v>
      </c>
      <c r="E718" s="53">
        <v>42468</v>
      </c>
      <c r="F718" s="75">
        <v>17182</v>
      </c>
      <c r="G718" s="72"/>
      <c r="H718" s="49" t="s">
        <v>744</v>
      </c>
      <c r="I718" s="49" t="s">
        <v>135</v>
      </c>
      <c r="J718" s="76">
        <v>-66.98</v>
      </c>
      <c r="K718" s="83" t="str">
        <f>IFERROR(IFERROR(VLOOKUP(I718,'DE-PARA'!B:D,3,0),VLOOKUP(I718,'DE-PARA'!C:D,2,0)),"NÃO ENCONTRADO")</f>
        <v>Pessoal</v>
      </c>
      <c r="L718" s="50" t="str">
        <f>VLOOKUP(K718,'Base -Receita-Despesa'!$B:$P,1,FALSE)</f>
        <v>Pessoal</v>
      </c>
    </row>
    <row r="719" spans="1:12" ht="15" customHeight="1" x14ac:dyDescent="0.3">
      <c r="A719" s="82" t="str">
        <f t="shared" si="22"/>
        <v>2016</v>
      </c>
      <c r="B719" s="72" t="s">
        <v>131</v>
      </c>
      <c r="C719" s="73" t="s">
        <v>132</v>
      </c>
      <c r="D719" s="74" t="str">
        <f t="shared" si="23"/>
        <v>abr/2016</v>
      </c>
      <c r="E719" s="53">
        <v>42468</v>
      </c>
      <c r="F719" s="75">
        <v>105686</v>
      </c>
      <c r="G719" s="72"/>
      <c r="H719" s="49" t="s">
        <v>745</v>
      </c>
      <c r="I719" s="49" t="s">
        <v>135</v>
      </c>
      <c r="J719" s="76">
        <v>-266.44</v>
      </c>
      <c r="K719" s="83" t="str">
        <f>IFERROR(IFERROR(VLOOKUP(I719,'DE-PARA'!B:D,3,0),VLOOKUP(I719,'DE-PARA'!C:D,2,0)),"NÃO ENCONTRADO")</f>
        <v>Pessoal</v>
      </c>
      <c r="L719" s="50" t="str">
        <f>VLOOKUP(K719,'Base -Receita-Despesa'!$B:$P,1,FALSE)</f>
        <v>Pessoal</v>
      </c>
    </row>
    <row r="720" spans="1:12" ht="15" customHeight="1" x14ac:dyDescent="0.3">
      <c r="A720" s="82" t="str">
        <f t="shared" si="22"/>
        <v>2016</v>
      </c>
      <c r="B720" s="72" t="s">
        <v>131</v>
      </c>
      <c r="C720" s="73" t="s">
        <v>132</v>
      </c>
      <c r="D720" s="74" t="str">
        <f t="shared" si="23"/>
        <v>abr/2016</v>
      </c>
      <c r="E720" s="53">
        <v>42468</v>
      </c>
      <c r="F720" s="75">
        <v>106444</v>
      </c>
      <c r="G720" s="72"/>
      <c r="H720" s="49" t="s">
        <v>746</v>
      </c>
      <c r="I720" s="49" t="s">
        <v>135</v>
      </c>
      <c r="J720" s="76">
        <v>-12.54</v>
      </c>
      <c r="K720" s="83" t="str">
        <f>IFERROR(IFERROR(VLOOKUP(I720,'DE-PARA'!B:D,3,0),VLOOKUP(I720,'DE-PARA'!C:D,2,0)),"NÃO ENCONTRADO")</f>
        <v>Pessoal</v>
      </c>
      <c r="L720" s="50" t="str">
        <f>VLOOKUP(K720,'Base -Receita-Despesa'!$B:$P,1,FALSE)</f>
        <v>Pessoal</v>
      </c>
    </row>
    <row r="721" spans="1:12" ht="15" customHeight="1" x14ac:dyDescent="0.3">
      <c r="A721" s="82" t="str">
        <f t="shared" si="22"/>
        <v>2016</v>
      </c>
      <c r="B721" s="72" t="s">
        <v>131</v>
      </c>
      <c r="C721" s="73" t="s">
        <v>132</v>
      </c>
      <c r="D721" s="74" t="str">
        <f t="shared" si="23"/>
        <v>abr/2016</v>
      </c>
      <c r="E721" s="53">
        <v>42468</v>
      </c>
      <c r="F721" s="75">
        <v>109077</v>
      </c>
      <c r="G721" s="72"/>
      <c r="H721" s="49" t="s">
        <v>747</v>
      </c>
      <c r="I721" s="49" t="s">
        <v>135</v>
      </c>
      <c r="J721" s="76">
        <v>-68.84</v>
      </c>
      <c r="K721" s="83" t="str">
        <f>IFERROR(IFERROR(VLOOKUP(I721,'DE-PARA'!B:D,3,0),VLOOKUP(I721,'DE-PARA'!C:D,2,0)),"NÃO ENCONTRADO")</f>
        <v>Pessoal</v>
      </c>
      <c r="L721" s="50" t="str">
        <f>VLOOKUP(K721,'Base -Receita-Despesa'!$B:$P,1,FALSE)</f>
        <v>Pessoal</v>
      </c>
    </row>
    <row r="722" spans="1:12" ht="15" customHeight="1" x14ac:dyDescent="0.3">
      <c r="A722" s="82" t="str">
        <f t="shared" si="22"/>
        <v>2016</v>
      </c>
      <c r="B722" s="72" t="s">
        <v>131</v>
      </c>
      <c r="C722" s="73" t="s">
        <v>132</v>
      </c>
      <c r="D722" s="74" t="str">
        <f t="shared" si="23"/>
        <v>abr/2016</v>
      </c>
      <c r="E722" s="53">
        <v>42468</v>
      </c>
      <c r="F722" s="75">
        <v>108170</v>
      </c>
      <c r="G722" s="72"/>
      <c r="H722" s="49" t="s">
        <v>748</v>
      </c>
      <c r="I722" s="49" t="s">
        <v>135</v>
      </c>
      <c r="J722" s="76">
        <v>-22.28</v>
      </c>
      <c r="K722" s="83" t="str">
        <f>IFERROR(IFERROR(VLOOKUP(I722,'DE-PARA'!B:D,3,0),VLOOKUP(I722,'DE-PARA'!C:D,2,0)),"NÃO ENCONTRADO")</f>
        <v>Pessoal</v>
      </c>
      <c r="L722" s="50" t="str">
        <f>VLOOKUP(K722,'Base -Receita-Despesa'!$B:$P,1,FALSE)</f>
        <v>Pessoal</v>
      </c>
    </row>
    <row r="723" spans="1:12" ht="15" customHeight="1" x14ac:dyDescent="0.3">
      <c r="A723" s="82" t="str">
        <f t="shared" si="22"/>
        <v>2016</v>
      </c>
      <c r="B723" s="72" t="s">
        <v>131</v>
      </c>
      <c r="C723" s="73" t="s">
        <v>132</v>
      </c>
      <c r="D723" s="74" t="str">
        <f t="shared" si="23"/>
        <v>abr/2016</v>
      </c>
      <c r="E723" s="53">
        <v>42468</v>
      </c>
      <c r="F723" s="75">
        <v>110376</v>
      </c>
      <c r="G723" s="72"/>
      <c r="H723" s="49" t="s">
        <v>749</v>
      </c>
      <c r="I723" s="49" t="s">
        <v>135</v>
      </c>
      <c r="J723" s="76">
        <v>-150.59</v>
      </c>
      <c r="K723" s="83" t="str">
        <f>IFERROR(IFERROR(VLOOKUP(I723,'DE-PARA'!B:D,3,0),VLOOKUP(I723,'DE-PARA'!C:D,2,0)),"NÃO ENCONTRADO")</f>
        <v>Pessoal</v>
      </c>
      <c r="L723" s="50" t="str">
        <f>VLOOKUP(K723,'Base -Receita-Despesa'!$B:$P,1,FALSE)</f>
        <v>Pessoal</v>
      </c>
    </row>
    <row r="724" spans="1:12" ht="15" customHeight="1" x14ac:dyDescent="0.3">
      <c r="A724" s="82" t="str">
        <f t="shared" si="22"/>
        <v>2016</v>
      </c>
      <c r="B724" s="72" t="s">
        <v>131</v>
      </c>
      <c r="C724" s="73" t="s">
        <v>132</v>
      </c>
      <c r="D724" s="74" t="str">
        <f t="shared" si="23"/>
        <v>abr/2016</v>
      </c>
      <c r="E724" s="53">
        <v>42468</v>
      </c>
      <c r="F724" s="75">
        <v>17481</v>
      </c>
      <c r="G724" s="72"/>
      <c r="H724" s="49" t="s">
        <v>750</v>
      </c>
      <c r="I724" s="49" t="s">
        <v>135</v>
      </c>
      <c r="J724" s="76">
        <v>-573.48</v>
      </c>
      <c r="K724" s="83" t="str">
        <f>IFERROR(IFERROR(VLOOKUP(I724,'DE-PARA'!B:D,3,0),VLOOKUP(I724,'DE-PARA'!C:D,2,0)),"NÃO ENCONTRADO")</f>
        <v>Pessoal</v>
      </c>
      <c r="L724" s="50" t="str">
        <f>VLOOKUP(K724,'Base -Receita-Despesa'!$B:$P,1,FALSE)</f>
        <v>Pessoal</v>
      </c>
    </row>
    <row r="725" spans="1:12" ht="15" customHeight="1" x14ac:dyDescent="0.3">
      <c r="A725" s="82" t="str">
        <f t="shared" si="22"/>
        <v>2016</v>
      </c>
      <c r="B725" s="72" t="s">
        <v>131</v>
      </c>
      <c r="C725" s="73" t="s">
        <v>132</v>
      </c>
      <c r="D725" s="74" t="str">
        <f t="shared" si="23"/>
        <v>abr/2016</v>
      </c>
      <c r="E725" s="53">
        <v>42468</v>
      </c>
      <c r="F725" s="75">
        <v>111701</v>
      </c>
      <c r="G725" s="72"/>
      <c r="H725" s="49" t="s">
        <v>751</v>
      </c>
      <c r="I725" s="49" t="s">
        <v>135</v>
      </c>
      <c r="J725" s="76">
        <v>-610.11</v>
      </c>
      <c r="K725" s="83" t="str">
        <f>IFERROR(IFERROR(VLOOKUP(I725,'DE-PARA'!B:D,3,0),VLOOKUP(I725,'DE-PARA'!C:D,2,0)),"NÃO ENCONTRADO")</f>
        <v>Pessoal</v>
      </c>
      <c r="L725" s="50" t="str">
        <f>VLOOKUP(K725,'Base -Receita-Despesa'!$B:$P,1,FALSE)</f>
        <v>Pessoal</v>
      </c>
    </row>
    <row r="726" spans="1:12" ht="15" customHeight="1" x14ac:dyDescent="0.3">
      <c r="A726" s="82" t="str">
        <f t="shared" si="22"/>
        <v>2016</v>
      </c>
      <c r="B726" s="72" t="s">
        <v>131</v>
      </c>
      <c r="C726" s="73" t="s">
        <v>132</v>
      </c>
      <c r="D726" s="74" t="str">
        <f t="shared" si="23"/>
        <v>abr/2016</v>
      </c>
      <c r="E726" s="53">
        <v>42468</v>
      </c>
      <c r="F726" s="75">
        <v>112267</v>
      </c>
      <c r="G726" s="72"/>
      <c r="H726" s="49" t="s">
        <v>752</v>
      </c>
      <c r="I726" s="49" t="s">
        <v>135</v>
      </c>
      <c r="J726" s="76">
        <v>-230.66</v>
      </c>
      <c r="K726" s="83" t="str">
        <f>IFERROR(IFERROR(VLOOKUP(I726,'DE-PARA'!B:D,3,0),VLOOKUP(I726,'DE-PARA'!C:D,2,0)),"NÃO ENCONTRADO")</f>
        <v>Pessoal</v>
      </c>
      <c r="L726" s="50" t="str">
        <f>VLOOKUP(K726,'Base -Receita-Despesa'!$B:$P,1,FALSE)</f>
        <v>Pessoal</v>
      </c>
    </row>
    <row r="727" spans="1:12" ht="15" customHeight="1" x14ac:dyDescent="0.3">
      <c r="A727" s="82" t="str">
        <f t="shared" si="22"/>
        <v>2016</v>
      </c>
      <c r="B727" s="72" t="s">
        <v>131</v>
      </c>
      <c r="C727" s="73" t="s">
        <v>132</v>
      </c>
      <c r="D727" s="74" t="str">
        <f t="shared" si="23"/>
        <v>abr/2016</v>
      </c>
      <c r="E727" s="53">
        <v>42468</v>
      </c>
      <c r="F727" s="75">
        <v>113072</v>
      </c>
      <c r="G727" s="72"/>
      <c r="H727" s="49" t="s">
        <v>753</v>
      </c>
      <c r="I727" s="49" t="s">
        <v>135</v>
      </c>
      <c r="J727" s="76">
        <v>-45.48</v>
      </c>
      <c r="K727" s="83" t="str">
        <f>IFERROR(IFERROR(VLOOKUP(I727,'DE-PARA'!B:D,3,0),VLOOKUP(I727,'DE-PARA'!C:D,2,0)),"NÃO ENCONTRADO")</f>
        <v>Pessoal</v>
      </c>
      <c r="L727" s="50" t="str">
        <f>VLOOKUP(K727,'Base -Receita-Despesa'!$B:$P,1,FALSE)</f>
        <v>Pessoal</v>
      </c>
    </row>
    <row r="728" spans="1:12" ht="15" customHeight="1" x14ac:dyDescent="0.3">
      <c r="A728" s="82" t="str">
        <f t="shared" si="22"/>
        <v>2016</v>
      </c>
      <c r="B728" s="72" t="s">
        <v>131</v>
      </c>
      <c r="C728" s="73" t="s">
        <v>132</v>
      </c>
      <c r="D728" s="74" t="str">
        <f t="shared" si="23"/>
        <v>abr/2016</v>
      </c>
      <c r="E728" s="53">
        <v>42468</v>
      </c>
      <c r="F728" s="75">
        <v>18293</v>
      </c>
      <c r="G728" s="72"/>
      <c r="H728" s="49" t="s">
        <v>754</v>
      </c>
      <c r="I728" s="49" t="s">
        <v>135</v>
      </c>
      <c r="J728" s="76">
        <v>-434.01</v>
      </c>
      <c r="K728" s="83" t="str">
        <f>IFERROR(IFERROR(VLOOKUP(I728,'DE-PARA'!B:D,3,0),VLOOKUP(I728,'DE-PARA'!C:D,2,0)),"NÃO ENCONTRADO")</f>
        <v>Pessoal</v>
      </c>
      <c r="L728" s="50" t="str">
        <f>VLOOKUP(K728,'Base -Receita-Despesa'!$B:$P,1,FALSE)</f>
        <v>Pessoal</v>
      </c>
    </row>
    <row r="729" spans="1:12" ht="15" customHeight="1" x14ac:dyDescent="0.3">
      <c r="A729" s="82" t="str">
        <f t="shared" si="22"/>
        <v>2016</v>
      </c>
      <c r="B729" s="72" t="s">
        <v>131</v>
      </c>
      <c r="C729" s="73" t="s">
        <v>132</v>
      </c>
      <c r="D729" s="74" t="str">
        <f t="shared" si="23"/>
        <v>abr/2016</v>
      </c>
      <c r="E729" s="53">
        <v>42468</v>
      </c>
      <c r="F729" s="75">
        <v>17182</v>
      </c>
      <c r="G729" s="72"/>
      <c r="H729" s="49" t="s">
        <v>149</v>
      </c>
      <c r="I729" s="49" t="s">
        <v>129</v>
      </c>
      <c r="J729" s="76">
        <v>-7.85</v>
      </c>
      <c r="K729" s="83" t="str">
        <f>IFERROR(IFERROR(VLOOKUP(I729,'DE-PARA'!B:D,3,0),VLOOKUP(I729,'DE-PARA'!C:D,2,0)),"NÃO ENCONTRADO")</f>
        <v>Outras Saídas</v>
      </c>
      <c r="L729" s="50" t="str">
        <f>VLOOKUP(K729,'Base -Receita-Despesa'!$B:$P,1,FALSE)</f>
        <v>Outras Saídas</v>
      </c>
    </row>
    <row r="730" spans="1:12" ht="15" customHeight="1" x14ac:dyDescent="0.3">
      <c r="A730" s="82" t="str">
        <f t="shared" si="22"/>
        <v>2016</v>
      </c>
      <c r="B730" s="72" t="s">
        <v>131</v>
      </c>
      <c r="C730" s="73" t="s">
        <v>132</v>
      </c>
      <c r="D730" s="74" t="str">
        <f t="shared" si="23"/>
        <v>abr/2016</v>
      </c>
      <c r="E730" s="53">
        <v>42468</v>
      </c>
      <c r="F730" s="75">
        <v>17481</v>
      </c>
      <c r="G730" s="72"/>
      <c r="H730" s="49" t="s">
        <v>149</v>
      </c>
      <c r="I730" s="49" t="s">
        <v>129</v>
      </c>
      <c r="J730" s="76">
        <v>-7.85</v>
      </c>
      <c r="K730" s="83" t="str">
        <f>IFERROR(IFERROR(VLOOKUP(I730,'DE-PARA'!B:D,3,0),VLOOKUP(I730,'DE-PARA'!C:D,2,0)),"NÃO ENCONTRADO")</f>
        <v>Outras Saídas</v>
      </c>
      <c r="L730" s="50" t="str">
        <f>VLOOKUP(K730,'Base -Receita-Despesa'!$B:$P,1,FALSE)</f>
        <v>Outras Saídas</v>
      </c>
    </row>
    <row r="731" spans="1:12" ht="15" customHeight="1" x14ac:dyDescent="0.3">
      <c r="A731" s="82" t="str">
        <f t="shared" si="22"/>
        <v>2016</v>
      </c>
      <c r="B731" s="72" t="s">
        <v>131</v>
      </c>
      <c r="C731" s="73" t="s">
        <v>132</v>
      </c>
      <c r="D731" s="74" t="str">
        <f t="shared" si="23"/>
        <v>abr/2016</v>
      </c>
      <c r="E731" s="53">
        <v>42468</v>
      </c>
      <c r="F731" s="75">
        <v>17717</v>
      </c>
      <c r="G731" s="72"/>
      <c r="H731" s="49" t="s">
        <v>149</v>
      </c>
      <c r="I731" s="49" t="s">
        <v>129</v>
      </c>
      <c r="J731" s="76">
        <v>-7.85</v>
      </c>
      <c r="K731" s="83" t="str">
        <f>IFERROR(IFERROR(VLOOKUP(I731,'DE-PARA'!B:D,3,0),VLOOKUP(I731,'DE-PARA'!C:D,2,0)),"NÃO ENCONTRADO")</f>
        <v>Outras Saídas</v>
      </c>
      <c r="L731" s="50" t="str">
        <f>VLOOKUP(K731,'Base -Receita-Despesa'!$B:$P,1,FALSE)</f>
        <v>Outras Saídas</v>
      </c>
    </row>
    <row r="732" spans="1:12" ht="15" customHeight="1" x14ac:dyDescent="0.3">
      <c r="A732" s="82" t="str">
        <f t="shared" si="22"/>
        <v>2016</v>
      </c>
      <c r="B732" s="72" t="s">
        <v>131</v>
      </c>
      <c r="C732" s="73" t="s">
        <v>132</v>
      </c>
      <c r="D732" s="74" t="str">
        <f t="shared" si="23"/>
        <v>abr/2016</v>
      </c>
      <c r="E732" s="53">
        <v>42468</v>
      </c>
      <c r="F732" s="75">
        <v>17916</v>
      </c>
      <c r="G732" s="72"/>
      <c r="H732" s="49" t="s">
        <v>149</v>
      </c>
      <c r="I732" s="49" t="s">
        <v>129</v>
      </c>
      <c r="J732" s="76">
        <v>-7.85</v>
      </c>
      <c r="K732" s="83" t="str">
        <f>IFERROR(IFERROR(VLOOKUP(I732,'DE-PARA'!B:D,3,0),VLOOKUP(I732,'DE-PARA'!C:D,2,0)),"NÃO ENCONTRADO")</f>
        <v>Outras Saídas</v>
      </c>
      <c r="L732" s="50" t="str">
        <f>VLOOKUP(K732,'Base -Receita-Despesa'!$B:$P,1,FALSE)</f>
        <v>Outras Saídas</v>
      </c>
    </row>
    <row r="733" spans="1:12" ht="15" customHeight="1" x14ac:dyDescent="0.3">
      <c r="A733" s="82" t="str">
        <f t="shared" si="22"/>
        <v>2016</v>
      </c>
      <c r="B733" s="72" t="s">
        <v>131</v>
      </c>
      <c r="C733" s="73" t="s">
        <v>132</v>
      </c>
      <c r="D733" s="74" t="str">
        <f t="shared" si="23"/>
        <v>abr/2016</v>
      </c>
      <c r="E733" s="53">
        <v>42468</v>
      </c>
      <c r="F733" s="75">
        <v>18029</v>
      </c>
      <c r="G733" s="72"/>
      <c r="H733" s="49" t="s">
        <v>149</v>
      </c>
      <c r="I733" s="49" t="s">
        <v>129</v>
      </c>
      <c r="J733" s="76">
        <v>-7.85</v>
      </c>
      <c r="K733" s="83" t="str">
        <f>IFERROR(IFERROR(VLOOKUP(I733,'DE-PARA'!B:D,3,0),VLOOKUP(I733,'DE-PARA'!C:D,2,0)),"NÃO ENCONTRADO")</f>
        <v>Outras Saídas</v>
      </c>
      <c r="L733" s="50" t="str">
        <f>VLOOKUP(K733,'Base -Receita-Despesa'!$B:$P,1,FALSE)</f>
        <v>Outras Saídas</v>
      </c>
    </row>
    <row r="734" spans="1:12" ht="15" customHeight="1" x14ac:dyDescent="0.3">
      <c r="A734" s="82" t="str">
        <f t="shared" si="22"/>
        <v>2016</v>
      </c>
      <c r="B734" s="72" t="s">
        <v>131</v>
      </c>
      <c r="C734" s="73" t="s">
        <v>132</v>
      </c>
      <c r="D734" s="74" t="str">
        <f t="shared" si="23"/>
        <v>abr/2016</v>
      </c>
      <c r="E734" s="53">
        <v>42468</v>
      </c>
      <c r="F734" s="75">
        <v>18185</v>
      </c>
      <c r="G734" s="72"/>
      <c r="H734" s="49" t="s">
        <v>149</v>
      </c>
      <c r="I734" s="49" t="s">
        <v>129</v>
      </c>
      <c r="J734" s="76">
        <v>-7.85</v>
      </c>
      <c r="K734" s="83" t="str">
        <f>IFERROR(IFERROR(VLOOKUP(I734,'DE-PARA'!B:D,3,0),VLOOKUP(I734,'DE-PARA'!C:D,2,0)),"NÃO ENCONTRADO")</f>
        <v>Outras Saídas</v>
      </c>
      <c r="L734" s="50" t="str">
        <f>VLOOKUP(K734,'Base -Receita-Despesa'!$B:$P,1,FALSE)</f>
        <v>Outras Saídas</v>
      </c>
    </row>
    <row r="735" spans="1:12" ht="15" customHeight="1" x14ac:dyDescent="0.3">
      <c r="A735" s="82" t="str">
        <f t="shared" si="22"/>
        <v>2016</v>
      </c>
      <c r="B735" s="72" t="s">
        <v>131</v>
      </c>
      <c r="C735" s="73" t="s">
        <v>132</v>
      </c>
      <c r="D735" s="74" t="str">
        <f t="shared" si="23"/>
        <v>abr/2016</v>
      </c>
      <c r="E735" s="53">
        <v>42468</v>
      </c>
      <c r="F735" s="75">
        <v>18293</v>
      </c>
      <c r="G735" s="72"/>
      <c r="H735" s="49" t="s">
        <v>149</v>
      </c>
      <c r="I735" s="49" t="s">
        <v>129</v>
      </c>
      <c r="J735" s="76">
        <v>-7.85</v>
      </c>
      <c r="K735" s="83" t="str">
        <f>IFERROR(IFERROR(VLOOKUP(I735,'DE-PARA'!B:D,3,0),VLOOKUP(I735,'DE-PARA'!C:D,2,0)),"NÃO ENCONTRADO")</f>
        <v>Outras Saídas</v>
      </c>
      <c r="L735" s="50" t="str">
        <f>VLOOKUP(K735,'Base -Receita-Despesa'!$B:$P,1,FALSE)</f>
        <v>Outras Saídas</v>
      </c>
    </row>
    <row r="736" spans="1:12" ht="15" customHeight="1" x14ac:dyDescent="0.3">
      <c r="A736" s="82" t="str">
        <f t="shared" si="22"/>
        <v>2016</v>
      </c>
      <c r="B736" s="72" t="s">
        <v>131</v>
      </c>
      <c r="C736" s="73" t="s">
        <v>132</v>
      </c>
      <c r="D736" s="74" t="str">
        <f t="shared" si="23"/>
        <v>abr/2016</v>
      </c>
      <c r="E736" s="53">
        <v>42468</v>
      </c>
      <c r="F736" s="75">
        <v>595296</v>
      </c>
      <c r="G736" s="72"/>
      <c r="H736" s="49" t="s">
        <v>755</v>
      </c>
      <c r="I736" s="49" t="s">
        <v>124</v>
      </c>
      <c r="J736" s="76">
        <v>-789.07</v>
      </c>
      <c r="K736" s="83" t="str">
        <f>IFERROR(IFERROR(VLOOKUP(I736,'DE-PARA'!B:D,3,0),VLOOKUP(I736,'DE-PARA'!C:D,2,0)),"NÃO ENCONTRADO")</f>
        <v>Rescisões Trabalhistas</v>
      </c>
      <c r="L736" s="50" t="str">
        <f>VLOOKUP(K736,'Base -Receita-Despesa'!$B:$P,1,FALSE)</f>
        <v>Rescisões Trabalhistas</v>
      </c>
    </row>
    <row r="737" spans="1:12" ht="15" customHeight="1" x14ac:dyDescent="0.3">
      <c r="A737" s="82" t="str">
        <f t="shared" si="22"/>
        <v>2016</v>
      </c>
      <c r="B737" s="72" t="s">
        <v>131</v>
      </c>
      <c r="C737" s="73" t="s">
        <v>132</v>
      </c>
      <c r="D737" s="74" t="str">
        <f t="shared" si="23"/>
        <v>abr/2016</v>
      </c>
      <c r="E737" s="53">
        <v>42468</v>
      </c>
      <c r="F737" s="75" t="s">
        <v>123</v>
      </c>
      <c r="G737" s="72"/>
      <c r="H737" s="49" t="s">
        <v>319</v>
      </c>
      <c r="I737" s="49" t="s">
        <v>124</v>
      </c>
      <c r="J737" s="76">
        <v>-5448.34</v>
      </c>
      <c r="K737" s="83" t="str">
        <f>IFERROR(IFERROR(VLOOKUP(I737,'DE-PARA'!B:D,3,0),VLOOKUP(I737,'DE-PARA'!C:D,2,0)),"NÃO ENCONTRADO")</f>
        <v>Rescisões Trabalhistas</v>
      </c>
      <c r="L737" s="50" t="str">
        <f>VLOOKUP(K737,'Base -Receita-Despesa'!$B:$P,1,FALSE)</f>
        <v>Rescisões Trabalhistas</v>
      </c>
    </row>
    <row r="738" spans="1:12" ht="15" customHeight="1" x14ac:dyDescent="0.3">
      <c r="A738" s="82" t="str">
        <f t="shared" si="22"/>
        <v>2016</v>
      </c>
      <c r="B738" s="72" t="s">
        <v>131</v>
      </c>
      <c r="C738" s="73" t="s">
        <v>132</v>
      </c>
      <c r="D738" s="74" t="str">
        <f t="shared" si="23"/>
        <v>abr/2016</v>
      </c>
      <c r="E738" s="53">
        <v>42468</v>
      </c>
      <c r="F738" s="75">
        <v>912490</v>
      </c>
      <c r="G738" s="72"/>
      <c r="H738" s="49" t="s">
        <v>503</v>
      </c>
      <c r="I738" s="49" t="s">
        <v>159</v>
      </c>
      <c r="J738" s="76">
        <v>-129.6</v>
      </c>
      <c r="K738" s="83" t="str">
        <f>IFERROR(IFERROR(VLOOKUP(I738,'DE-PARA'!B:D,3,0),VLOOKUP(I738,'DE-PARA'!C:D,2,0)),"NÃO ENCONTRADO")</f>
        <v>Materiais</v>
      </c>
      <c r="L738" s="50" t="str">
        <f>VLOOKUP(K738,'Base -Receita-Despesa'!$B:$P,1,FALSE)</f>
        <v>Materiais</v>
      </c>
    </row>
    <row r="739" spans="1:12" ht="15" customHeight="1" x14ac:dyDescent="0.3">
      <c r="A739" s="82" t="str">
        <f t="shared" si="22"/>
        <v>2016</v>
      </c>
      <c r="B739" s="72" t="s">
        <v>131</v>
      </c>
      <c r="C739" s="73" t="s">
        <v>132</v>
      </c>
      <c r="D739" s="74" t="str">
        <f t="shared" si="23"/>
        <v>abr/2016</v>
      </c>
      <c r="E739" s="53">
        <v>42468</v>
      </c>
      <c r="F739" s="75">
        <v>913217</v>
      </c>
      <c r="G739" s="72"/>
      <c r="H739" s="49" t="s">
        <v>503</v>
      </c>
      <c r="I739" s="49" t="s">
        <v>159</v>
      </c>
      <c r="J739" s="76">
        <v>-196.58</v>
      </c>
      <c r="K739" s="83" t="str">
        <f>IFERROR(IFERROR(VLOOKUP(I739,'DE-PARA'!B:D,3,0),VLOOKUP(I739,'DE-PARA'!C:D,2,0)),"NÃO ENCONTRADO")</f>
        <v>Materiais</v>
      </c>
      <c r="L739" s="50" t="str">
        <f>VLOOKUP(K739,'Base -Receita-Despesa'!$B:$P,1,FALSE)</f>
        <v>Materiais</v>
      </c>
    </row>
    <row r="740" spans="1:12" ht="15" customHeight="1" x14ac:dyDescent="0.3">
      <c r="A740" s="82" t="str">
        <f t="shared" si="22"/>
        <v>2016</v>
      </c>
      <c r="B740" s="72" t="s">
        <v>131</v>
      </c>
      <c r="C740" s="73" t="s">
        <v>132</v>
      </c>
      <c r="D740" s="74" t="str">
        <f t="shared" si="23"/>
        <v>abr/2016</v>
      </c>
      <c r="E740" s="53">
        <v>42468</v>
      </c>
      <c r="F740" s="75">
        <v>914423</v>
      </c>
      <c r="G740" s="72"/>
      <c r="H740" s="49" t="s">
        <v>503</v>
      </c>
      <c r="I740" s="49" t="s">
        <v>159</v>
      </c>
      <c r="J740" s="76">
        <v>-2816.27</v>
      </c>
      <c r="K740" s="83" t="str">
        <f>IFERROR(IFERROR(VLOOKUP(I740,'DE-PARA'!B:D,3,0),VLOOKUP(I740,'DE-PARA'!C:D,2,0)),"NÃO ENCONTRADO")</f>
        <v>Materiais</v>
      </c>
      <c r="L740" s="50" t="str">
        <f>VLOOKUP(K740,'Base -Receita-Despesa'!$B:$P,1,FALSE)</f>
        <v>Materiais</v>
      </c>
    </row>
    <row r="741" spans="1:12" ht="15" customHeight="1" x14ac:dyDescent="0.3">
      <c r="A741" s="82" t="str">
        <f t="shared" si="22"/>
        <v>2016</v>
      </c>
      <c r="B741" s="72" t="s">
        <v>131</v>
      </c>
      <c r="C741" s="73" t="s">
        <v>132</v>
      </c>
      <c r="D741" s="74" t="str">
        <f t="shared" si="23"/>
        <v>abr/2016</v>
      </c>
      <c r="E741" s="53">
        <v>42468</v>
      </c>
      <c r="F741" s="75">
        <v>782870</v>
      </c>
      <c r="G741" s="72"/>
      <c r="H741" s="49" t="s">
        <v>147</v>
      </c>
      <c r="I741" s="49" t="s">
        <v>148</v>
      </c>
      <c r="J741" s="76">
        <v>-2554.6799999999998</v>
      </c>
      <c r="K741" s="83" t="str">
        <f>IFERROR(IFERROR(VLOOKUP(I741,'DE-PARA'!B:D,3,0),VLOOKUP(I741,'DE-PARA'!C:D,2,0)),"NÃO ENCONTRADO")</f>
        <v>Concessionárias (água, luz e telefone)</v>
      </c>
      <c r="L741" s="50" t="str">
        <f>VLOOKUP(K741,'Base -Receita-Despesa'!$B:$P,1,FALSE)</f>
        <v>Concessionárias (água, luz e telefone)</v>
      </c>
    </row>
    <row r="742" spans="1:12" ht="15" customHeight="1" x14ac:dyDescent="0.3">
      <c r="A742" s="82" t="str">
        <f t="shared" si="22"/>
        <v>2016</v>
      </c>
      <c r="B742" s="72" t="s">
        <v>131</v>
      </c>
      <c r="C742" s="73" t="s">
        <v>132</v>
      </c>
      <c r="D742" s="74" t="str">
        <f t="shared" si="23"/>
        <v>abr/2016</v>
      </c>
      <c r="E742" s="53">
        <v>42468</v>
      </c>
      <c r="F742" s="75">
        <v>159279</v>
      </c>
      <c r="G742" s="72"/>
      <c r="H742" s="49" t="s">
        <v>756</v>
      </c>
      <c r="I742" s="49" t="s">
        <v>135</v>
      </c>
      <c r="J742" s="76">
        <v>-1007.51</v>
      </c>
      <c r="K742" s="83" t="str">
        <f>IFERROR(IFERROR(VLOOKUP(I742,'DE-PARA'!B:D,3,0),VLOOKUP(I742,'DE-PARA'!C:D,2,0)),"NÃO ENCONTRADO")</f>
        <v>Pessoal</v>
      </c>
      <c r="L742" s="50" t="str">
        <f>VLOOKUP(K742,'Base -Receita-Despesa'!$B:$P,1,FALSE)</f>
        <v>Pessoal</v>
      </c>
    </row>
    <row r="743" spans="1:12" ht="15" customHeight="1" x14ac:dyDescent="0.3">
      <c r="A743" s="82" t="str">
        <f t="shared" si="22"/>
        <v>2016</v>
      </c>
      <c r="B743" s="72" t="s">
        <v>131</v>
      </c>
      <c r="C743" s="73" t="s">
        <v>132</v>
      </c>
      <c r="D743" s="74" t="str">
        <f t="shared" si="23"/>
        <v>abr/2016</v>
      </c>
      <c r="E743" s="53">
        <v>42471</v>
      </c>
      <c r="F743" s="75">
        <v>109292</v>
      </c>
      <c r="G743" s="72"/>
      <c r="H743" s="49" t="s">
        <v>187</v>
      </c>
      <c r="I743" s="49" t="s">
        <v>110</v>
      </c>
      <c r="J743" s="76">
        <v>-2700</v>
      </c>
      <c r="K743" s="83" t="str">
        <f>IFERROR(IFERROR(VLOOKUP(I743,'DE-PARA'!B:D,3,0),VLOOKUP(I743,'DE-PARA'!C:D,2,0)),"NÃO ENCONTRADO")</f>
        <v>Serviços</v>
      </c>
      <c r="L743" s="50" t="str">
        <f>VLOOKUP(K743,'Base -Receita-Despesa'!$B:$P,1,FALSE)</f>
        <v>Serviços</v>
      </c>
    </row>
    <row r="744" spans="1:12" ht="15" customHeight="1" x14ac:dyDescent="0.3">
      <c r="A744" s="82" t="str">
        <f t="shared" si="22"/>
        <v>2016</v>
      </c>
      <c r="B744" s="72" t="s">
        <v>131</v>
      </c>
      <c r="C744" s="73" t="s">
        <v>132</v>
      </c>
      <c r="D744" s="74" t="str">
        <f t="shared" si="23"/>
        <v>abr/2016</v>
      </c>
      <c r="E744" s="53">
        <v>42471</v>
      </c>
      <c r="F744" s="75" t="s">
        <v>199</v>
      </c>
      <c r="G744" s="72"/>
      <c r="H744" s="49" t="s">
        <v>757</v>
      </c>
      <c r="I744" s="49" t="s">
        <v>192</v>
      </c>
      <c r="J744" s="76">
        <v>-79.540000000000006</v>
      </c>
      <c r="K744" s="83" t="str">
        <f>IFERROR(IFERROR(VLOOKUP(I744,'DE-PARA'!B:D,3,0),VLOOKUP(I744,'DE-PARA'!C:D,2,0)),"NÃO ENCONTRADO")</f>
        <v>Materiais</v>
      </c>
      <c r="L744" s="50" t="str">
        <f>VLOOKUP(K744,'Base -Receita-Despesa'!$B:$P,1,FALSE)</f>
        <v>Materiais</v>
      </c>
    </row>
    <row r="745" spans="1:12" ht="15" customHeight="1" x14ac:dyDescent="0.3">
      <c r="A745" s="82" t="str">
        <f t="shared" si="22"/>
        <v>2016</v>
      </c>
      <c r="B745" s="72" t="s">
        <v>131</v>
      </c>
      <c r="C745" s="73" t="s">
        <v>132</v>
      </c>
      <c r="D745" s="74" t="str">
        <f t="shared" si="23"/>
        <v>abr/2016</v>
      </c>
      <c r="E745" s="53">
        <v>42471</v>
      </c>
      <c r="F745" s="75">
        <v>111247</v>
      </c>
      <c r="G745" s="72"/>
      <c r="H745" s="49" t="s">
        <v>758</v>
      </c>
      <c r="I745" s="49" t="s">
        <v>135</v>
      </c>
      <c r="J745" s="76">
        <v>58.72</v>
      </c>
      <c r="K745" s="83" t="str">
        <f>IFERROR(IFERROR(VLOOKUP(I745,'DE-PARA'!B:D,3,0),VLOOKUP(I745,'DE-PARA'!C:D,2,0)),"NÃO ENCONTRADO")</f>
        <v>Pessoal</v>
      </c>
      <c r="L745" s="50" t="str">
        <f>VLOOKUP(K745,'Base -Receita-Despesa'!$B:$P,1,FALSE)</f>
        <v>Pessoal</v>
      </c>
    </row>
    <row r="746" spans="1:12" ht="15" customHeight="1" x14ac:dyDescent="0.3">
      <c r="A746" s="82" t="str">
        <f t="shared" si="22"/>
        <v>2016</v>
      </c>
      <c r="B746" s="72" t="s">
        <v>131</v>
      </c>
      <c r="C746" s="73" t="s">
        <v>132</v>
      </c>
      <c r="D746" s="74" t="str">
        <f t="shared" si="23"/>
        <v>abr/2016</v>
      </c>
      <c r="E746" s="53">
        <v>42471</v>
      </c>
      <c r="F746" s="75">
        <v>111248</v>
      </c>
      <c r="G746" s="72"/>
      <c r="H746" s="49" t="s">
        <v>759</v>
      </c>
      <c r="I746" s="49" t="s">
        <v>135</v>
      </c>
      <c r="J746" s="76">
        <v>81.180000000000007</v>
      </c>
      <c r="K746" s="83" t="str">
        <f>IFERROR(IFERROR(VLOOKUP(I746,'DE-PARA'!B:D,3,0),VLOOKUP(I746,'DE-PARA'!C:D,2,0)),"NÃO ENCONTRADO")</f>
        <v>Pessoal</v>
      </c>
      <c r="L746" s="50" t="str">
        <f>VLOOKUP(K746,'Base -Receita-Despesa'!$B:$P,1,FALSE)</f>
        <v>Pessoal</v>
      </c>
    </row>
    <row r="747" spans="1:12" ht="15" customHeight="1" x14ac:dyDescent="0.3">
      <c r="A747" s="82" t="str">
        <f t="shared" si="22"/>
        <v>2016</v>
      </c>
      <c r="B747" s="72" t="s">
        <v>131</v>
      </c>
      <c r="C747" s="73" t="s">
        <v>132</v>
      </c>
      <c r="D747" s="74" t="str">
        <f t="shared" si="23"/>
        <v>abr/2016</v>
      </c>
      <c r="E747" s="53">
        <v>42471</v>
      </c>
      <c r="F747" s="75">
        <v>728412</v>
      </c>
      <c r="G747" s="72"/>
      <c r="H747" s="49" t="s">
        <v>760</v>
      </c>
      <c r="I747" s="49" t="s">
        <v>135</v>
      </c>
      <c r="J747" s="76">
        <v>653.74</v>
      </c>
      <c r="K747" s="83" t="str">
        <f>IFERROR(IFERROR(VLOOKUP(I747,'DE-PARA'!B:D,3,0),VLOOKUP(I747,'DE-PARA'!C:D,2,0)),"NÃO ENCONTRADO")</f>
        <v>Pessoal</v>
      </c>
      <c r="L747" s="50" t="str">
        <f>VLOOKUP(K747,'Base -Receita-Despesa'!$B:$P,1,FALSE)</f>
        <v>Pessoal</v>
      </c>
    </row>
    <row r="748" spans="1:12" ht="15" customHeight="1" x14ac:dyDescent="0.3">
      <c r="A748" s="82" t="str">
        <f t="shared" si="22"/>
        <v>2016</v>
      </c>
      <c r="B748" s="72" t="s">
        <v>131</v>
      </c>
      <c r="C748" s="73" t="s">
        <v>132</v>
      </c>
      <c r="D748" s="74" t="str">
        <f t="shared" si="23"/>
        <v>abr/2016</v>
      </c>
      <c r="E748" s="53">
        <v>42471</v>
      </c>
      <c r="F748" s="75">
        <v>1</v>
      </c>
      <c r="G748" s="72"/>
      <c r="H748" s="49" t="s">
        <v>761</v>
      </c>
      <c r="I748" s="49" t="s">
        <v>135</v>
      </c>
      <c r="J748" s="76">
        <v>71.739999999999995</v>
      </c>
      <c r="K748" s="83" t="str">
        <f>IFERROR(IFERROR(VLOOKUP(I748,'DE-PARA'!B:D,3,0),VLOOKUP(I748,'DE-PARA'!C:D,2,0)),"NÃO ENCONTRADO")</f>
        <v>Pessoal</v>
      </c>
      <c r="L748" s="50" t="str">
        <f>VLOOKUP(K748,'Base -Receita-Despesa'!$B:$P,1,FALSE)</f>
        <v>Pessoal</v>
      </c>
    </row>
    <row r="749" spans="1:12" ht="15" customHeight="1" x14ac:dyDescent="0.3">
      <c r="A749" s="82" t="str">
        <f t="shared" si="22"/>
        <v>2016</v>
      </c>
      <c r="B749" s="72" t="s">
        <v>131</v>
      </c>
      <c r="C749" s="73" t="s">
        <v>132</v>
      </c>
      <c r="D749" s="74" t="str">
        <f t="shared" si="23"/>
        <v>abr/2016</v>
      </c>
      <c r="E749" s="53">
        <v>42471</v>
      </c>
      <c r="F749" s="75">
        <v>100792</v>
      </c>
      <c r="G749" s="72"/>
      <c r="H749" s="49" t="s">
        <v>761</v>
      </c>
      <c r="I749" s="49" t="s">
        <v>135</v>
      </c>
      <c r="J749" s="76">
        <v>300</v>
      </c>
      <c r="K749" s="83" t="str">
        <f>IFERROR(IFERROR(VLOOKUP(I749,'DE-PARA'!B:D,3,0),VLOOKUP(I749,'DE-PARA'!C:D,2,0)),"NÃO ENCONTRADO")</f>
        <v>Pessoal</v>
      </c>
      <c r="L749" s="50" t="str">
        <f>VLOOKUP(K749,'Base -Receita-Despesa'!$B:$P,1,FALSE)</f>
        <v>Pessoal</v>
      </c>
    </row>
    <row r="750" spans="1:12" ht="15" customHeight="1" x14ac:dyDescent="0.3">
      <c r="A750" s="82" t="str">
        <f t="shared" si="22"/>
        <v>2016</v>
      </c>
      <c r="B750" s="72" t="s">
        <v>131</v>
      </c>
      <c r="C750" s="73" t="s">
        <v>132</v>
      </c>
      <c r="D750" s="74" t="str">
        <f t="shared" si="23"/>
        <v>abr/2016</v>
      </c>
      <c r="E750" s="53">
        <v>42471</v>
      </c>
      <c r="F750" s="75">
        <v>513601</v>
      </c>
      <c r="G750" s="72"/>
      <c r="H750" s="49" t="s">
        <v>201</v>
      </c>
      <c r="I750" s="49" t="s">
        <v>110</v>
      </c>
      <c r="J750" s="76">
        <v>-3125</v>
      </c>
      <c r="K750" s="83" t="str">
        <f>IFERROR(IFERROR(VLOOKUP(I750,'DE-PARA'!B:D,3,0),VLOOKUP(I750,'DE-PARA'!C:D,2,0)),"NÃO ENCONTRADO")</f>
        <v>Serviços</v>
      </c>
      <c r="L750" s="50" t="str">
        <f>VLOOKUP(K750,'Base -Receita-Despesa'!$B:$P,1,FALSE)</f>
        <v>Serviços</v>
      </c>
    </row>
    <row r="751" spans="1:12" ht="15" customHeight="1" x14ac:dyDescent="0.3">
      <c r="A751" s="82" t="str">
        <f t="shared" si="22"/>
        <v>2016</v>
      </c>
      <c r="B751" s="72" t="s">
        <v>131</v>
      </c>
      <c r="C751" s="73" t="s">
        <v>132</v>
      </c>
      <c r="D751" s="74" t="str">
        <f t="shared" si="23"/>
        <v>abr/2016</v>
      </c>
      <c r="E751" s="53">
        <v>42471</v>
      </c>
      <c r="F751" s="75">
        <v>169738</v>
      </c>
      <c r="G751" s="72"/>
      <c r="H751" s="49" t="s">
        <v>427</v>
      </c>
      <c r="I751" s="49" t="s">
        <v>428</v>
      </c>
      <c r="J751" s="76">
        <v>-880</v>
      </c>
      <c r="K751" s="83" t="str">
        <f>IFERROR(IFERROR(VLOOKUP(I751,'DE-PARA'!B:D,3,0),VLOOKUP(I751,'DE-PARA'!C:D,2,0)),"NÃO ENCONTRADO")</f>
        <v>Aluguéis</v>
      </c>
      <c r="L751" s="50" t="str">
        <f>VLOOKUP(K751,'Base -Receita-Despesa'!$B:$P,1,FALSE)</f>
        <v>Aluguéis</v>
      </c>
    </row>
    <row r="752" spans="1:12" ht="15" customHeight="1" x14ac:dyDescent="0.3">
      <c r="A752" s="82" t="str">
        <f t="shared" si="22"/>
        <v>2016</v>
      </c>
      <c r="B752" s="72" t="s">
        <v>131</v>
      </c>
      <c r="C752" s="73" t="s">
        <v>132</v>
      </c>
      <c r="D752" s="74" t="str">
        <f t="shared" si="23"/>
        <v>abr/2016</v>
      </c>
      <c r="E752" s="53">
        <v>42471</v>
      </c>
      <c r="F752" s="75" t="s">
        <v>199</v>
      </c>
      <c r="G752" s="72"/>
      <c r="H752" s="49" t="s">
        <v>762</v>
      </c>
      <c r="I752" s="49" t="s">
        <v>192</v>
      </c>
      <c r="J752" s="76">
        <v>-156.19</v>
      </c>
      <c r="K752" s="83" t="str">
        <f>IFERROR(IFERROR(VLOOKUP(I752,'DE-PARA'!B:D,3,0),VLOOKUP(I752,'DE-PARA'!C:D,2,0)),"NÃO ENCONTRADO")</f>
        <v>Materiais</v>
      </c>
      <c r="L752" s="50" t="str">
        <f>VLOOKUP(K752,'Base -Receita-Despesa'!$B:$P,1,FALSE)</f>
        <v>Materiais</v>
      </c>
    </row>
    <row r="753" spans="1:12" ht="15" customHeight="1" x14ac:dyDescent="0.3">
      <c r="A753" s="82" t="str">
        <f t="shared" si="22"/>
        <v>2016</v>
      </c>
      <c r="B753" s="72" t="s">
        <v>131</v>
      </c>
      <c r="C753" s="73" t="s">
        <v>132</v>
      </c>
      <c r="D753" s="74" t="str">
        <f t="shared" si="23"/>
        <v>abr/2016</v>
      </c>
      <c r="E753" s="53">
        <v>42471</v>
      </c>
      <c r="F753" s="75" t="s">
        <v>199</v>
      </c>
      <c r="G753" s="72"/>
      <c r="H753" s="49" t="s">
        <v>763</v>
      </c>
      <c r="I753" s="49" t="s">
        <v>192</v>
      </c>
      <c r="J753" s="76">
        <v>-71.95</v>
      </c>
      <c r="K753" s="83" t="str">
        <f>IFERROR(IFERROR(VLOOKUP(I753,'DE-PARA'!B:D,3,0),VLOOKUP(I753,'DE-PARA'!C:D,2,0)),"NÃO ENCONTRADO")</f>
        <v>Materiais</v>
      </c>
      <c r="L753" s="50" t="str">
        <f>VLOOKUP(K753,'Base -Receita-Despesa'!$B:$P,1,FALSE)</f>
        <v>Materiais</v>
      </c>
    </row>
    <row r="754" spans="1:12" ht="15" customHeight="1" x14ac:dyDescent="0.3">
      <c r="A754" s="82" t="str">
        <f t="shared" si="22"/>
        <v>2016</v>
      </c>
      <c r="B754" s="72" t="s">
        <v>131</v>
      </c>
      <c r="C754" s="73" t="s">
        <v>132</v>
      </c>
      <c r="D754" s="74" t="str">
        <f t="shared" si="23"/>
        <v>abr/2016</v>
      </c>
      <c r="E754" s="53">
        <v>42471</v>
      </c>
      <c r="F754" s="75">
        <v>21736</v>
      </c>
      <c r="G754" s="72"/>
      <c r="H754" s="49" t="s">
        <v>353</v>
      </c>
      <c r="I754" s="49" t="s">
        <v>159</v>
      </c>
      <c r="J754" s="76">
        <v>-254.6</v>
      </c>
      <c r="K754" s="83" t="str">
        <f>IFERROR(IFERROR(VLOOKUP(I754,'DE-PARA'!B:D,3,0),VLOOKUP(I754,'DE-PARA'!C:D,2,0)),"NÃO ENCONTRADO")</f>
        <v>Materiais</v>
      </c>
      <c r="L754" s="50" t="str">
        <f>VLOOKUP(K754,'Base -Receita-Despesa'!$B:$P,1,FALSE)</f>
        <v>Materiais</v>
      </c>
    </row>
    <row r="755" spans="1:12" ht="15" customHeight="1" x14ac:dyDescent="0.3">
      <c r="A755" s="82" t="str">
        <f t="shared" si="22"/>
        <v>2016</v>
      </c>
      <c r="B755" s="72" t="s">
        <v>131</v>
      </c>
      <c r="C755" s="73" t="s">
        <v>132</v>
      </c>
      <c r="D755" s="74" t="str">
        <f t="shared" si="23"/>
        <v>abr/2016</v>
      </c>
      <c r="E755" s="53">
        <v>42471</v>
      </c>
      <c r="F755" s="75">
        <v>28041</v>
      </c>
      <c r="G755" s="72"/>
      <c r="H755" s="49" t="s">
        <v>166</v>
      </c>
      <c r="I755" s="49" t="s">
        <v>167</v>
      </c>
      <c r="J755" s="76">
        <v>-1922.68</v>
      </c>
      <c r="K755" s="83" t="str">
        <f>IFERROR(IFERROR(VLOOKUP(I755,'DE-PARA'!B:D,3,0),VLOOKUP(I755,'DE-PARA'!C:D,2,0)),"NÃO ENCONTRADO")</f>
        <v>Materiais</v>
      </c>
      <c r="L755" s="50" t="str">
        <f>VLOOKUP(K755,'Base -Receita-Despesa'!$B:$P,1,FALSE)</f>
        <v>Materiais</v>
      </c>
    </row>
    <row r="756" spans="1:12" ht="15" customHeight="1" x14ac:dyDescent="0.3">
      <c r="A756" s="82" t="str">
        <f t="shared" si="22"/>
        <v>2016</v>
      </c>
      <c r="B756" s="72" t="s">
        <v>131</v>
      </c>
      <c r="C756" s="73" t="s">
        <v>132</v>
      </c>
      <c r="D756" s="74" t="str">
        <f t="shared" si="23"/>
        <v>abr/2016</v>
      </c>
      <c r="E756" s="53">
        <v>42471</v>
      </c>
      <c r="F756" s="75">
        <v>32449</v>
      </c>
      <c r="G756" s="72"/>
      <c r="H756" s="49" t="s">
        <v>166</v>
      </c>
      <c r="I756" s="49" t="s">
        <v>167</v>
      </c>
      <c r="J756" s="76">
        <v>-1671.19</v>
      </c>
      <c r="K756" s="83" t="str">
        <f>IFERROR(IFERROR(VLOOKUP(I756,'DE-PARA'!B:D,3,0),VLOOKUP(I756,'DE-PARA'!C:D,2,0)),"NÃO ENCONTRADO")</f>
        <v>Materiais</v>
      </c>
      <c r="L756" s="50" t="str">
        <f>VLOOKUP(K756,'Base -Receita-Despesa'!$B:$P,1,FALSE)</f>
        <v>Materiais</v>
      </c>
    </row>
    <row r="757" spans="1:12" ht="15" customHeight="1" x14ac:dyDescent="0.3">
      <c r="A757" s="82" t="str">
        <f t="shared" si="22"/>
        <v>2016</v>
      </c>
      <c r="B757" s="72" t="s">
        <v>131</v>
      </c>
      <c r="C757" s="73" t="s">
        <v>132</v>
      </c>
      <c r="D757" s="74" t="str">
        <f t="shared" si="23"/>
        <v>abr/2016</v>
      </c>
      <c r="E757" s="53">
        <v>42471</v>
      </c>
      <c r="F757" s="75">
        <v>35273</v>
      </c>
      <c r="G757" s="72"/>
      <c r="H757" s="49" t="s">
        <v>444</v>
      </c>
      <c r="I757" s="49" t="s">
        <v>189</v>
      </c>
      <c r="J757" s="76">
        <v>-119.8</v>
      </c>
      <c r="K757" s="83" t="str">
        <f>IFERROR(IFERROR(VLOOKUP(I757,'DE-PARA'!B:D,3,0),VLOOKUP(I757,'DE-PARA'!C:D,2,0)),"NÃO ENCONTRADO")</f>
        <v>Materiais</v>
      </c>
      <c r="L757" s="50" t="str">
        <f>VLOOKUP(K757,'Base -Receita-Despesa'!$B:$P,1,FALSE)</f>
        <v>Materiais</v>
      </c>
    </row>
    <row r="758" spans="1:12" ht="15" customHeight="1" x14ac:dyDescent="0.3">
      <c r="A758" s="82" t="str">
        <f t="shared" si="22"/>
        <v>2016</v>
      </c>
      <c r="B758" s="72" t="s">
        <v>131</v>
      </c>
      <c r="C758" s="73" t="s">
        <v>132</v>
      </c>
      <c r="D758" s="74" t="str">
        <f t="shared" si="23"/>
        <v>abr/2016</v>
      </c>
      <c r="E758" s="53">
        <v>42471</v>
      </c>
      <c r="F758" s="75" t="s">
        <v>199</v>
      </c>
      <c r="G758" s="72"/>
      <c r="H758" s="49" t="s">
        <v>383</v>
      </c>
      <c r="I758" s="49" t="s">
        <v>192</v>
      </c>
      <c r="J758" s="76">
        <v>-513.25</v>
      </c>
      <c r="K758" s="83" t="str">
        <f>IFERROR(IFERROR(VLOOKUP(I758,'DE-PARA'!B:D,3,0),VLOOKUP(I758,'DE-PARA'!C:D,2,0)),"NÃO ENCONTRADO")</f>
        <v>Materiais</v>
      </c>
      <c r="L758" s="50" t="str">
        <f>VLOOKUP(K758,'Base -Receita-Despesa'!$B:$P,1,FALSE)</f>
        <v>Materiais</v>
      </c>
    </row>
    <row r="759" spans="1:12" ht="15" customHeight="1" x14ac:dyDescent="0.3">
      <c r="A759" s="82" t="str">
        <f t="shared" si="22"/>
        <v>2016</v>
      </c>
      <c r="B759" s="72" t="s">
        <v>131</v>
      </c>
      <c r="C759" s="73" t="s">
        <v>132</v>
      </c>
      <c r="D759" s="74" t="str">
        <f t="shared" si="23"/>
        <v>abr/2016</v>
      </c>
      <c r="E759" s="53">
        <v>42471</v>
      </c>
      <c r="F759" s="75">
        <v>170288</v>
      </c>
      <c r="G759" s="72"/>
      <c r="H759" s="49" t="s">
        <v>216</v>
      </c>
      <c r="I759" s="49" t="s">
        <v>196</v>
      </c>
      <c r="J759" s="76">
        <v>-281.33999999999997</v>
      </c>
      <c r="K759" s="83" t="str">
        <f>IFERROR(IFERROR(VLOOKUP(I759,'DE-PARA'!B:D,3,0),VLOOKUP(I759,'DE-PARA'!C:D,2,0)),"NÃO ENCONTRADO")</f>
        <v>Materiais</v>
      </c>
      <c r="L759" s="50" t="str">
        <f>VLOOKUP(K759,'Base -Receita-Despesa'!$B:$P,1,FALSE)</f>
        <v>Materiais</v>
      </c>
    </row>
    <row r="760" spans="1:12" ht="15" customHeight="1" x14ac:dyDescent="0.3">
      <c r="A760" s="82" t="str">
        <f t="shared" si="22"/>
        <v>2016</v>
      </c>
      <c r="B760" s="72" t="s">
        <v>131</v>
      </c>
      <c r="C760" s="73" t="s">
        <v>132</v>
      </c>
      <c r="D760" s="74" t="str">
        <f t="shared" si="23"/>
        <v>abr/2016</v>
      </c>
      <c r="E760" s="53">
        <v>42471</v>
      </c>
      <c r="F760" s="75">
        <v>170695</v>
      </c>
      <c r="G760" s="72"/>
      <c r="H760" s="49" t="s">
        <v>216</v>
      </c>
      <c r="I760" s="49" t="s">
        <v>196</v>
      </c>
      <c r="J760" s="76">
        <v>-628.16</v>
      </c>
      <c r="K760" s="83" t="str">
        <f>IFERROR(IFERROR(VLOOKUP(I760,'DE-PARA'!B:D,3,0),VLOOKUP(I760,'DE-PARA'!C:D,2,0)),"NÃO ENCONTRADO")</f>
        <v>Materiais</v>
      </c>
      <c r="L760" s="50" t="str">
        <f>VLOOKUP(K760,'Base -Receita-Despesa'!$B:$P,1,FALSE)</f>
        <v>Materiais</v>
      </c>
    </row>
    <row r="761" spans="1:12" ht="15" customHeight="1" x14ac:dyDescent="0.3">
      <c r="A761" s="82" t="str">
        <f t="shared" si="22"/>
        <v>2016</v>
      </c>
      <c r="B761" s="72" t="s">
        <v>131</v>
      </c>
      <c r="C761" s="73" t="s">
        <v>132</v>
      </c>
      <c r="D761" s="74" t="str">
        <f t="shared" si="23"/>
        <v>abr/2016</v>
      </c>
      <c r="E761" s="53">
        <v>42472</v>
      </c>
      <c r="F761" s="75">
        <v>405590</v>
      </c>
      <c r="G761" s="72"/>
      <c r="H761" s="49" t="s">
        <v>765</v>
      </c>
      <c r="I761" s="49" t="s">
        <v>135</v>
      </c>
      <c r="J761" s="76">
        <v>30.13</v>
      </c>
      <c r="K761" s="83" t="str">
        <f>IFERROR(IFERROR(VLOOKUP(I761,'DE-PARA'!B:D,3,0),VLOOKUP(I761,'DE-PARA'!C:D,2,0)),"NÃO ENCONTRADO")</f>
        <v>Pessoal</v>
      </c>
      <c r="L761" s="50" t="str">
        <f>VLOOKUP(K761,'Base -Receita-Despesa'!$B:$P,1,FALSE)</f>
        <v>Pessoal</v>
      </c>
    </row>
    <row r="762" spans="1:12" ht="15" customHeight="1" x14ac:dyDescent="0.3">
      <c r="A762" s="82" t="str">
        <f t="shared" si="22"/>
        <v>2016</v>
      </c>
      <c r="B762" s="72" t="s">
        <v>131</v>
      </c>
      <c r="C762" s="73" t="s">
        <v>132</v>
      </c>
      <c r="D762" s="74" t="str">
        <f t="shared" si="23"/>
        <v>abr/2016</v>
      </c>
      <c r="E762" s="53">
        <v>42472</v>
      </c>
      <c r="F762" s="75">
        <v>166584</v>
      </c>
      <c r="G762" s="72"/>
      <c r="H762" s="49" t="s">
        <v>766</v>
      </c>
      <c r="I762" s="49" t="s">
        <v>135</v>
      </c>
      <c r="J762" s="76">
        <v>5879.11</v>
      </c>
      <c r="K762" s="83" t="str">
        <f>IFERROR(IFERROR(VLOOKUP(I762,'DE-PARA'!B:D,3,0),VLOOKUP(I762,'DE-PARA'!C:D,2,0)),"NÃO ENCONTRADO")</f>
        <v>Pessoal</v>
      </c>
      <c r="L762" s="50" t="str">
        <f>VLOOKUP(K762,'Base -Receita-Despesa'!$B:$P,1,FALSE)</f>
        <v>Pessoal</v>
      </c>
    </row>
    <row r="763" spans="1:12" ht="15" customHeight="1" x14ac:dyDescent="0.3">
      <c r="A763" s="82" t="str">
        <f t="shared" si="22"/>
        <v>2016</v>
      </c>
      <c r="B763" s="72" t="s">
        <v>131</v>
      </c>
      <c r="C763" s="73" t="s">
        <v>132</v>
      </c>
      <c r="D763" s="74" t="str">
        <f t="shared" si="23"/>
        <v>abr/2016</v>
      </c>
      <c r="E763" s="53">
        <v>42472</v>
      </c>
      <c r="F763" s="75">
        <v>1</v>
      </c>
      <c r="G763" s="72"/>
      <c r="H763" s="49" t="s">
        <v>767</v>
      </c>
      <c r="I763" s="49" t="s">
        <v>135</v>
      </c>
      <c r="J763" s="76">
        <v>424.74</v>
      </c>
      <c r="K763" s="83" t="str">
        <f>IFERROR(IFERROR(VLOOKUP(I763,'DE-PARA'!B:D,3,0),VLOOKUP(I763,'DE-PARA'!C:D,2,0)),"NÃO ENCONTRADO")</f>
        <v>Pessoal</v>
      </c>
      <c r="L763" s="50" t="str">
        <f>VLOOKUP(K763,'Base -Receita-Despesa'!$B:$P,1,FALSE)</f>
        <v>Pessoal</v>
      </c>
    </row>
    <row r="764" spans="1:12" ht="15" customHeight="1" x14ac:dyDescent="0.3">
      <c r="A764" s="82" t="str">
        <f t="shared" si="22"/>
        <v>2016</v>
      </c>
      <c r="B764" s="72" t="s">
        <v>131</v>
      </c>
      <c r="C764" s="73" t="s">
        <v>132</v>
      </c>
      <c r="D764" s="74" t="str">
        <f t="shared" si="23"/>
        <v>abr/2016</v>
      </c>
      <c r="E764" s="53">
        <v>42472</v>
      </c>
      <c r="F764" s="75">
        <v>110283</v>
      </c>
      <c r="G764" s="72"/>
      <c r="H764" s="49" t="s">
        <v>368</v>
      </c>
      <c r="I764" s="49" t="s">
        <v>159</v>
      </c>
      <c r="J764" s="76">
        <v>-263</v>
      </c>
      <c r="K764" s="83" t="str">
        <f>IFERROR(IFERROR(VLOOKUP(I764,'DE-PARA'!B:D,3,0),VLOOKUP(I764,'DE-PARA'!C:D,2,0)),"NÃO ENCONTRADO")</f>
        <v>Materiais</v>
      </c>
      <c r="L764" s="50" t="str">
        <f>VLOOKUP(K764,'Base -Receita-Despesa'!$B:$P,1,FALSE)</f>
        <v>Materiais</v>
      </c>
    </row>
    <row r="765" spans="1:12" ht="15" customHeight="1" x14ac:dyDescent="0.3">
      <c r="A765" s="82" t="str">
        <f t="shared" si="22"/>
        <v>2016</v>
      </c>
      <c r="B765" s="72" t="s">
        <v>131</v>
      </c>
      <c r="C765" s="73" t="s">
        <v>132</v>
      </c>
      <c r="D765" s="74" t="str">
        <f t="shared" si="23"/>
        <v>abr/2016</v>
      </c>
      <c r="E765" s="53">
        <v>42472</v>
      </c>
      <c r="F765" s="75">
        <v>108765</v>
      </c>
      <c r="G765" s="72"/>
      <c r="H765" s="49" t="s">
        <v>161</v>
      </c>
      <c r="I765" s="49" t="s">
        <v>159</v>
      </c>
      <c r="J765" s="76">
        <v>-964.86</v>
      </c>
      <c r="K765" s="83" t="str">
        <f>IFERROR(IFERROR(VLOOKUP(I765,'DE-PARA'!B:D,3,0),VLOOKUP(I765,'DE-PARA'!C:D,2,0)),"NÃO ENCONTRADO")</f>
        <v>Materiais</v>
      </c>
      <c r="L765" s="50" t="str">
        <f>VLOOKUP(K765,'Base -Receita-Despesa'!$B:$P,1,FALSE)</f>
        <v>Materiais</v>
      </c>
    </row>
    <row r="766" spans="1:12" ht="15" customHeight="1" x14ac:dyDescent="0.3">
      <c r="A766" s="82" t="str">
        <f t="shared" si="22"/>
        <v>2016</v>
      </c>
      <c r="B766" s="72" t="s">
        <v>131</v>
      </c>
      <c r="C766" s="73" t="s">
        <v>132</v>
      </c>
      <c r="D766" s="74" t="str">
        <f t="shared" si="23"/>
        <v>abr/2016</v>
      </c>
      <c r="E766" s="53">
        <v>42472</v>
      </c>
      <c r="F766" s="75">
        <v>108909</v>
      </c>
      <c r="G766" s="72"/>
      <c r="H766" s="49" t="s">
        <v>161</v>
      </c>
      <c r="I766" s="49" t="s">
        <v>159</v>
      </c>
      <c r="J766" s="76">
        <v>-826.54</v>
      </c>
      <c r="K766" s="83" t="str">
        <f>IFERROR(IFERROR(VLOOKUP(I766,'DE-PARA'!B:D,3,0),VLOOKUP(I766,'DE-PARA'!C:D,2,0)),"NÃO ENCONTRADO")</f>
        <v>Materiais</v>
      </c>
      <c r="L766" s="50" t="str">
        <f>VLOOKUP(K766,'Base -Receita-Despesa'!$B:$P,1,FALSE)</f>
        <v>Materiais</v>
      </c>
    </row>
    <row r="767" spans="1:12" ht="15" customHeight="1" x14ac:dyDescent="0.3">
      <c r="A767" s="82" t="str">
        <f t="shared" si="22"/>
        <v>2016</v>
      </c>
      <c r="B767" s="72" t="s">
        <v>131</v>
      </c>
      <c r="C767" s="73" t="s">
        <v>132</v>
      </c>
      <c r="D767" s="74" t="str">
        <f t="shared" si="23"/>
        <v>abr/2016</v>
      </c>
      <c r="E767" s="53">
        <v>42472</v>
      </c>
      <c r="F767" s="75">
        <v>109683</v>
      </c>
      <c r="G767" s="72"/>
      <c r="H767" s="49" t="s">
        <v>161</v>
      </c>
      <c r="I767" s="49" t="s">
        <v>159</v>
      </c>
      <c r="J767" s="76">
        <v>-588.05999999999995</v>
      </c>
      <c r="K767" s="83" t="str">
        <f>IFERROR(IFERROR(VLOOKUP(I767,'DE-PARA'!B:D,3,0),VLOOKUP(I767,'DE-PARA'!C:D,2,0)),"NÃO ENCONTRADO")</f>
        <v>Materiais</v>
      </c>
      <c r="L767" s="50" t="str">
        <f>VLOOKUP(K767,'Base -Receita-Despesa'!$B:$P,1,FALSE)</f>
        <v>Materiais</v>
      </c>
    </row>
    <row r="768" spans="1:12" ht="15" customHeight="1" x14ac:dyDescent="0.3">
      <c r="A768" s="82" t="str">
        <f t="shared" si="22"/>
        <v>2016</v>
      </c>
      <c r="B768" s="72" t="s">
        <v>131</v>
      </c>
      <c r="C768" s="73" t="s">
        <v>132</v>
      </c>
      <c r="D768" s="74" t="str">
        <f t="shared" si="23"/>
        <v>abr/2016</v>
      </c>
      <c r="E768" s="53">
        <v>42472</v>
      </c>
      <c r="F768" s="75">
        <v>109878</v>
      </c>
      <c r="G768" s="72"/>
      <c r="H768" s="49" t="s">
        <v>161</v>
      </c>
      <c r="I768" s="49" t="s">
        <v>159</v>
      </c>
      <c r="J768" s="76">
        <v>-1641.4</v>
      </c>
      <c r="K768" s="83" t="str">
        <f>IFERROR(IFERROR(VLOOKUP(I768,'DE-PARA'!B:D,3,0),VLOOKUP(I768,'DE-PARA'!C:D,2,0)),"NÃO ENCONTRADO")</f>
        <v>Materiais</v>
      </c>
      <c r="L768" s="50" t="str">
        <f>VLOOKUP(K768,'Base -Receita-Despesa'!$B:$P,1,FALSE)</f>
        <v>Materiais</v>
      </c>
    </row>
    <row r="769" spans="1:12" ht="15" customHeight="1" x14ac:dyDescent="0.3">
      <c r="A769" s="82" t="str">
        <f t="shared" si="22"/>
        <v>2016</v>
      </c>
      <c r="B769" s="72" t="s">
        <v>131</v>
      </c>
      <c r="C769" s="73" t="s">
        <v>132</v>
      </c>
      <c r="D769" s="74" t="str">
        <f t="shared" si="23"/>
        <v>abr/2016</v>
      </c>
      <c r="E769" s="53">
        <v>42472</v>
      </c>
      <c r="F769" s="75">
        <v>110067</v>
      </c>
      <c r="G769" s="72"/>
      <c r="H769" s="49" t="s">
        <v>161</v>
      </c>
      <c r="I769" s="49" t="s">
        <v>159</v>
      </c>
      <c r="J769" s="76">
        <v>-76.75</v>
      </c>
      <c r="K769" s="83" t="str">
        <f>IFERROR(IFERROR(VLOOKUP(I769,'DE-PARA'!B:D,3,0),VLOOKUP(I769,'DE-PARA'!C:D,2,0)),"NÃO ENCONTRADO")</f>
        <v>Materiais</v>
      </c>
      <c r="L769" s="50" t="str">
        <f>VLOOKUP(K769,'Base -Receita-Despesa'!$B:$P,1,FALSE)</f>
        <v>Materiais</v>
      </c>
    </row>
    <row r="770" spans="1:12" ht="15" customHeight="1" x14ac:dyDescent="0.3">
      <c r="A770" s="82" t="str">
        <f t="shared" si="22"/>
        <v>2016</v>
      </c>
      <c r="B770" s="72" t="s">
        <v>131</v>
      </c>
      <c r="C770" s="73" t="s">
        <v>132</v>
      </c>
      <c r="D770" s="74" t="str">
        <f t="shared" si="23"/>
        <v>abr/2016</v>
      </c>
      <c r="E770" s="53">
        <v>42472</v>
      </c>
      <c r="F770" s="75">
        <v>108152</v>
      </c>
      <c r="G770" s="72"/>
      <c r="H770" s="49" t="s">
        <v>213</v>
      </c>
      <c r="I770" s="49" t="s">
        <v>159</v>
      </c>
      <c r="J770" s="76">
        <v>-355.65</v>
      </c>
      <c r="K770" s="83" t="str">
        <f>IFERROR(IFERROR(VLOOKUP(I770,'DE-PARA'!B:D,3,0),VLOOKUP(I770,'DE-PARA'!C:D,2,0)),"NÃO ENCONTRADO")</f>
        <v>Materiais</v>
      </c>
      <c r="L770" s="50" t="str">
        <f>VLOOKUP(K770,'Base -Receita-Despesa'!$B:$P,1,FALSE)</f>
        <v>Materiais</v>
      </c>
    </row>
    <row r="771" spans="1:12" ht="15" customHeight="1" x14ac:dyDescent="0.3">
      <c r="A771" s="82" t="str">
        <f t="shared" si="22"/>
        <v>2016</v>
      </c>
      <c r="B771" s="72" t="s">
        <v>131</v>
      </c>
      <c r="C771" s="73" t="s">
        <v>132</v>
      </c>
      <c r="D771" s="74" t="str">
        <f t="shared" si="23"/>
        <v>abr/2016</v>
      </c>
      <c r="E771" s="53">
        <v>42472</v>
      </c>
      <c r="F771" s="75">
        <v>108541</v>
      </c>
      <c r="G771" s="72"/>
      <c r="H771" s="49" t="s">
        <v>213</v>
      </c>
      <c r="I771" s="49" t="s">
        <v>159</v>
      </c>
      <c r="J771" s="76">
        <v>-1085.54</v>
      </c>
      <c r="K771" s="83" t="str">
        <f>IFERROR(IFERROR(VLOOKUP(I771,'DE-PARA'!B:D,3,0),VLOOKUP(I771,'DE-PARA'!C:D,2,0)),"NÃO ENCONTRADO")</f>
        <v>Materiais</v>
      </c>
      <c r="L771" s="50" t="str">
        <f>VLOOKUP(K771,'Base -Receita-Despesa'!$B:$P,1,FALSE)</f>
        <v>Materiais</v>
      </c>
    </row>
    <row r="772" spans="1:12" ht="15" customHeight="1" x14ac:dyDescent="0.3">
      <c r="A772" s="82" t="str">
        <f t="shared" ref="A772:A835" si="24">IF(K772="NÃO ENCONTRADO",0,RIGHT(D772,4))</f>
        <v>2016</v>
      </c>
      <c r="B772" s="72" t="s">
        <v>131</v>
      </c>
      <c r="C772" s="73" t="s">
        <v>132</v>
      </c>
      <c r="D772" s="74" t="str">
        <f t="shared" ref="D772:D835" si="25">TEXT(E772,"mmm/aaaa")</f>
        <v>abr/2016</v>
      </c>
      <c r="E772" s="53">
        <v>42472</v>
      </c>
      <c r="F772" s="75">
        <v>112780</v>
      </c>
      <c r="G772" s="72"/>
      <c r="H772" s="49" t="s">
        <v>215</v>
      </c>
      <c r="I772" s="49" t="s">
        <v>167</v>
      </c>
      <c r="J772" s="76">
        <v>-678.5</v>
      </c>
      <c r="K772" s="83" t="str">
        <f>IFERROR(IFERROR(VLOOKUP(I772,'DE-PARA'!B:D,3,0),VLOOKUP(I772,'DE-PARA'!C:D,2,0)),"NÃO ENCONTRADO")</f>
        <v>Materiais</v>
      </c>
      <c r="L772" s="50" t="str">
        <f>VLOOKUP(K772,'Base -Receita-Despesa'!$B:$P,1,FALSE)</f>
        <v>Materiais</v>
      </c>
    </row>
    <row r="773" spans="1:12" ht="15" customHeight="1" x14ac:dyDescent="0.3">
      <c r="A773" s="82" t="str">
        <f t="shared" si="24"/>
        <v>2016</v>
      </c>
      <c r="B773" s="72" t="s">
        <v>131</v>
      </c>
      <c r="C773" s="73" t="s">
        <v>132</v>
      </c>
      <c r="D773" s="74" t="str">
        <f t="shared" si="25"/>
        <v>abr/2016</v>
      </c>
      <c r="E773" s="53">
        <v>42472</v>
      </c>
      <c r="F773" s="75">
        <v>112940</v>
      </c>
      <c r="G773" s="72"/>
      <c r="H773" s="49" t="s">
        <v>215</v>
      </c>
      <c r="I773" s="49" t="s">
        <v>167</v>
      </c>
      <c r="J773" s="76">
        <v>-386.39</v>
      </c>
      <c r="K773" s="83" t="str">
        <f>IFERROR(IFERROR(VLOOKUP(I773,'DE-PARA'!B:D,3,0),VLOOKUP(I773,'DE-PARA'!C:D,2,0)),"NÃO ENCONTRADO")</f>
        <v>Materiais</v>
      </c>
      <c r="L773" s="50" t="str">
        <f>VLOOKUP(K773,'Base -Receita-Despesa'!$B:$P,1,FALSE)</f>
        <v>Materiais</v>
      </c>
    </row>
    <row r="774" spans="1:12" ht="15" customHeight="1" x14ac:dyDescent="0.3">
      <c r="A774" s="82" t="str">
        <f t="shared" si="24"/>
        <v>2016</v>
      </c>
      <c r="B774" s="72" t="s">
        <v>131</v>
      </c>
      <c r="C774" s="73" t="s">
        <v>132</v>
      </c>
      <c r="D774" s="74" t="str">
        <f t="shared" si="25"/>
        <v>abr/2016</v>
      </c>
      <c r="E774" s="53">
        <v>42472</v>
      </c>
      <c r="F774" s="75">
        <v>110515</v>
      </c>
      <c r="G774" s="72"/>
      <c r="H774" s="49" t="s">
        <v>229</v>
      </c>
      <c r="I774" s="49" t="s">
        <v>159</v>
      </c>
      <c r="J774" s="76">
        <v>-1139.29</v>
      </c>
      <c r="K774" s="83" t="str">
        <f>IFERROR(IFERROR(VLOOKUP(I774,'DE-PARA'!B:D,3,0),VLOOKUP(I774,'DE-PARA'!C:D,2,0)),"NÃO ENCONTRADO")</f>
        <v>Materiais</v>
      </c>
      <c r="L774" s="50" t="str">
        <f>VLOOKUP(K774,'Base -Receita-Despesa'!$B:$P,1,FALSE)</f>
        <v>Materiais</v>
      </c>
    </row>
    <row r="775" spans="1:12" ht="15" customHeight="1" x14ac:dyDescent="0.3">
      <c r="A775" s="82" t="str">
        <f t="shared" si="24"/>
        <v>2016</v>
      </c>
      <c r="B775" s="72" t="s">
        <v>131</v>
      </c>
      <c r="C775" s="73" t="s">
        <v>132</v>
      </c>
      <c r="D775" s="74" t="str">
        <f t="shared" si="25"/>
        <v>abr/2016</v>
      </c>
      <c r="E775" s="53">
        <v>42472</v>
      </c>
      <c r="F775" s="75">
        <v>110759</v>
      </c>
      <c r="G775" s="72"/>
      <c r="H775" s="49" t="s">
        <v>229</v>
      </c>
      <c r="I775" s="49" t="s">
        <v>159</v>
      </c>
      <c r="J775" s="76">
        <v>-891</v>
      </c>
      <c r="K775" s="83" t="str">
        <f>IFERROR(IFERROR(VLOOKUP(I775,'DE-PARA'!B:D,3,0),VLOOKUP(I775,'DE-PARA'!C:D,2,0)),"NÃO ENCONTRADO")</f>
        <v>Materiais</v>
      </c>
      <c r="L775" s="50" t="str">
        <f>VLOOKUP(K775,'Base -Receita-Despesa'!$B:$P,1,FALSE)</f>
        <v>Materiais</v>
      </c>
    </row>
    <row r="776" spans="1:12" ht="15" customHeight="1" x14ac:dyDescent="0.3">
      <c r="A776" s="82" t="str">
        <f t="shared" si="24"/>
        <v>2016</v>
      </c>
      <c r="B776" s="72" t="s">
        <v>131</v>
      </c>
      <c r="C776" s="73" t="s">
        <v>132</v>
      </c>
      <c r="D776" s="74" t="str">
        <f t="shared" si="25"/>
        <v>abr/2016</v>
      </c>
      <c r="E776" s="53">
        <v>42472</v>
      </c>
      <c r="F776" s="75">
        <v>110999</v>
      </c>
      <c r="G776" s="72"/>
      <c r="H776" s="49" t="s">
        <v>229</v>
      </c>
      <c r="I776" s="49" t="s">
        <v>159</v>
      </c>
      <c r="J776" s="76">
        <v>-1485.18</v>
      </c>
      <c r="K776" s="83" t="str">
        <f>IFERROR(IFERROR(VLOOKUP(I776,'DE-PARA'!B:D,3,0),VLOOKUP(I776,'DE-PARA'!C:D,2,0)),"NÃO ENCONTRADO")</f>
        <v>Materiais</v>
      </c>
      <c r="L776" s="50" t="str">
        <f>VLOOKUP(K776,'Base -Receita-Despesa'!$B:$P,1,FALSE)</f>
        <v>Materiais</v>
      </c>
    </row>
    <row r="777" spans="1:12" ht="15" customHeight="1" x14ac:dyDescent="0.3">
      <c r="A777" s="82" t="str">
        <f t="shared" si="24"/>
        <v>2016</v>
      </c>
      <c r="B777" s="72" t="s">
        <v>131</v>
      </c>
      <c r="C777" s="73" t="s">
        <v>132</v>
      </c>
      <c r="D777" s="74" t="str">
        <f t="shared" si="25"/>
        <v>abr/2016</v>
      </c>
      <c r="E777" s="53">
        <v>42472</v>
      </c>
      <c r="F777" s="75">
        <v>111230</v>
      </c>
      <c r="G777" s="72"/>
      <c r="H777" s="49" t="s">
        <v>229</v>
      </c>
      <c r="I777" s="49" t="s">
        <v>159</v>
      </c>
      <c r="J777" s="76">
        <v>-1188</v>
      </c>
      <c r="K777" s="83" t="str">
        <f>IFERROR(IFERROR(VLOOKUP(I777,'DE-PARA'!B:D,3,0),VLOOKUP(I777,'DE-PARA'!C:D,2,0)),"NÃO ENCONTRADO")</f>
        <v>Materiais</v>
      </c>
      <c r="L777" s="50" t="str">
        <f>VLOOKUP(K777,'Base -Receita-Despesa'!$B:$P,1,FALSE)</f>
        <v>Materiais</v>
      </c>
    </row>
    <row r="778" spans="1:12" ht="15" customHeight="1" x14ac:dyDescent="0.3">
      <c r="A778" s="82" t="str">
        <f t="shared" si="24"/>
        <v>2016</v>
      </c>
      <c r="B778" s="72" t="s">
        <v>131</v>
      </c>
      <c r="C778" s="73" t="s">
        <v>132</v>
      </c>
      <c r="D778" s="74" t="str">
        <f t="shared" si="25"/>
        <v>abr/2016</v>
      </c>
      <c r="E778" s="53">
        <v>42472</v>
      </c>
      <c r="F778" s="75">
        <v>111430</v>
      </c>
      <c r="G778" s="72"/>
      <c r="H778" s="49" t="s">
        <v>229</v>
      </c>
      <c r="I778" s="49" t="s">
        <v>159</v>
      </c>
      <c r="J778" s="76">
        <v>-3008.43</v>
      </c>
      <c r="K778" s="83" t="str">
        <f>IFERROR(IFERROR(VLOOKUP(I778,'DE-PARA'!B:D,3,0),VLOOKUP(I778,'DE-PARA'!C:D,2,0)),"NÃO ENCONTRADO")</f>
        <v>Materiais</v>
      </c>
      <c r="L778" s="50" t="str">
        <f>VLOOKUP(K778,'Base -Receita-Despesa'!$B:$P,1,FALSE)</f>
        <v>Materiais</v>
      </c>
    </row>
    <row r="779" spans="1:12" ht="15" customHeight="1" x14ac:dyDescent="0.3">
      <c r="A779" s="82" t="str">
        <f t="shared" si="24"/>
        <v>2016</v>
      </c>
      <c r="B779" s="72" t="s">
        <v>131</v>
      </c>
      <c r="C779" s="73" t="s">
        <v>132</v>
      </c>
      <c r="D779" s="74" t="str">
        <f t="shared" si="25"/>
        <v>abr/2016</v>
      </c>
      <c r="E779" s="53">
        <v>42472</v>
      </c>
      <c r="F779" s="75">
        <v>111589</v>
      </c>
      <c r="G779" s="72"/>
      <c r="H779" s="49" t="s">
        <v>229</v>
      </c>
      <c r="I779" s="49" t="s">
        <v>159</v>
      </c>
      <c r="J779" s="76">
        <v>-2520.9</v>
      </c>
      <c r="K779" s="83" t="str">
        <f>IFERROR(IFERROR(VLOOKUP(I779,'DE-PARA'!B:D,3,0),VLOOKUP(I779,'DE-PARA'!C:D,2,0)),"NÃO ENCONTRADO")</f>
        <v>Materiais</v>
      </c>
      <c r="L779" s="50" t="str">
        <f>VLOOKUP(K779,'Base -Receita-Despesa'!$B:$P,1,FALSE)</f>
        <v>Materiais</v>
      </c>
    </row>
    <row r="780" spans="1:12" ht="15" customHeight="1" x14ac:dyDescent="0.3">
      <c r="A780" s="82" t="str">
        <f t="shared" si="24"/>
        <v>2016</v>
      </c>
      <c r="B780" s="72" t="s">
        <v>131</v>
      </c>
      <c r="C780" s="73" t="s">
        <v>132</v>
      </c>
      <c r="D780" s="74" t="str">
        <f t="shared" si="25"/>
        <v>abr/2016</v>
      </c>
      <c r="E780" s="53">
        <v>42472</v>
      </c>
      <c r="F780" s="75">
        <v>111749</v>
      </c>
      <c r="G780" s="72"/>
      <c r="H780" s="49" t="s">
        <v>229</v>
      </c>
      <c r="I780" s="49" t="s">
        <v>159</v>
      </c>
      <c r="J780" s="76">
        <v>-1381.39</v>
      </c>
      <c r="K780" s="83" t="str">
        <f>IFERROR(IFERROR(VLOOKUP(I780,'DE-PARA'!B:D,3,0),VLOOKUP(I780,'DE-PARA'!C:D,2,0)),"NÃO ENCONTRADO")</f>
        <v>Materiais</v>
      </c>
      <c r="L780" s="50" t="str">
        <f>VLOOKUP(K780,'Base -Receita-Despesa'!$B:$P,1,FALSE)</f>
        <v>Materiais</v>
      </c>
    </row>
    <row r="781" spans="1:12" ht="15" customHeight="1" x14ac:dyDescent="0.3">
      <c r="A781" s="82" t="str">
        <f t="shared" si="24"/>
        <v>2016</v>
      </c>
      <c r="B781" s="72" t="s">
        <v>131</v>
      </c>
      <c r="C781" s="73" t="s">
        <v>132</v>
      </c>
      <c r="D781" s="74" t="str">
        <f t="shared" si="25"/>
        <v>abr/2016</v>
      </c>
      <c r="E781" s="53">
        <v>42472</v>
      </c>
      <c r="F781" s="75">
        <v>112143</v>
      </c>
      <c r="G781" s="72"/>
      <c r="H781" s="49" t="s">
        <v>229</v>
      </c>
      <c r="I781" s="49" t="s">
        <v>159</v>
      </c>
      <c r="J781" s="76">
        <v>-2480.75</v>
      </c>
      <c r="K781" s="83" t="str">
        <f>IFERROR(IFERROR(VLOOKUP(I781,'DE-PARA'!B:D,3,0),VLOOKUP(I781,'DE-PARA'!C:D,2,0)),"NÃO ENCONTRADO")</f>
        <v>Materiais</v>
      </c>
      <c r="L781" s="50" t="str">
        <f>VLOOKUP(K781,'Base -Receita-Despesa'!$B:$P,1,FALSE)</f>
        <v>Materiais</v>
      </c>
    </row>
    <row r="782" spans="1:12" ht="15" customHeight="1" x14ac:dyDescent="0.3">
      <c r="A782" s="82" t="str">
        <f t="shared" si="24"/>
        <v>2016</v>
      </c>
      <c r="B782" s="72" t="s">
        <v>131</v>
      </c>
      <c r="C782" s="73" t="s">
        <v>132</v>
      </c>
      <c r="D782" s="74" t="str">
        <f t="shared" si="25"/>
        <v>abr/2016</v>
      </c>
      <c r="E782" s="53">
        <v>42473</v>
      </c>
      <c r="F782" s="75">
        <v>14</v>
      </c>
      <c r="G782" s="72"/>
      <c r="H782" s="49" t="s">
        <v>766</v>
      </c>
      <c r="I782" s="49" t="s">
        <v>135</v>
      </c>
      <c r="J782" s="76">
        <v>5879.11</v>
      </c>
      <c r="K782" s="83" t="str">
        <f>IFERROR(IFERROR(VLOOKUP(I782,'DE-PARA'!B:D,3,0),VLOOKUP(I782,'DE-PARA'!C:D,2,0)),"NÃO ENCONTRADO")</f>
        <v>Pessoal</v>
      </c>
      <c r="L782" s="50" t="str">
        <f>VLOOKUP(K782,'Base -Receita-Despesa'!$B:$P,1,FALSE)</f>
        <v>Pessoal</v>
      </c>
    </row>
    <row r="783" spans="1:12" ht="15" customHeight="1" x14ac:dyDescent="0.3">
      <c r="A783" s="82" t="str">
        <f t="shared" si="24"/>
        <v>2016</v>
      </c>
      <c r="B783" s="72" t="s">
        <v>131</v>
      </c>
      <c r="C783" s="73" t="s">
        <v>132</v>
      </c>
      <c r="D783" s="74" t="str">
        <f t="shared" si="25"/>
        <v>abr/2016</v>
      </c>
      <c r="E783" s="53">
        <v>42473</v>
      </c>
      <c r="F783" s="75">
        <v>130845</v>
      </c>
      <c r="G783" s="72"/>
      <c r="H783" s="49" t="s">
        <v>768</v>
      </c>
      <c r="I783" s="49" t="s">
        <v>135</v>
      </c>
      <c r="J783" s="76">
        <v>713.26</v>
      </c>
      <c r="K783" s="83" t="str">
        <f>IFERROR(IFERROR(VLOOKUP(I783,'DE-PARA'!B:D,3,0),VLOOKUP(I783,'DE-PARA'!C:D,2,0)),"NÃO ENCONTRADO")</f>
        <v>Pessoal</v>
      </c>
      <c r="L783" s="50" t="str">
        <f>VLOOKUP(K783,'Base -Receita-Despesa'!$B:$P,1,FALSE)</f>
        <v>Pessoal</v>
      </c>
    </row>
    <row r="784" spans="1:12" ht="15" customHeight="1" x14ac:dyDescent="0.3">
      <c r="A784" s="82" t="str">
        <f t="shared" si="24"/>
        <v>2016</v>
      </c>
      <c r="B784" s="72" t="s">
        <v>131</v>
      </c>
      <c r="C784" s="73" t="s">
        <v>132</v>
      </c>
      <c r="D784" s="74" t="str">
        <f t="shared" si="25"/>
        <v>abr/2016</v>
      </c>
      <c r="E784" s="53">
        <v>42473</v>
      </c>
      <c r="F784" s="75">
        <v>131042</v>
      </c>
      <c r="G784" s="72"/>
      <c r="H784" s="49" t="s">
        <v>769</v>
      </c>
      <c r="I784" s="49" t="s">
        <v>135</v>
      </c>
      <c r="J784" s="76">
        <v>59.69</v>
      </c>
      <c r="K784" s="83" t="str">
        <f>IFERROR(IFERROR(VLOOKUP(I784,'DE-PARA'!B:D,3,0),VLOOKUP(I784,'DE-PARA'!C:D,2,0)),"NÃO ENCONTRADO")</f>
        <v>Pessoal</v>
      </c>
      <c r="L784" s="50" t="str">
        <f>VLOOKUP(K784,'Base -Receita-Despesa'!$B:$P,1,FALSE)</f>
        <v>Pessoal</v>
      </c>
    </row>
    <row r="785" spans="1:12" ht="15" customHeight="1" x14ac:dyDescent="0.3">
      <c r="A785" s="82" t="str">
        <f t="shared" si="24"/>
        <v>2016</v>
      </c>
      <c r="B785" s="72" t="s">
        <v>131</v>
      </c>
      <c r="C785" s="73" t="s">
        <v>132</v>
      </c>
      <c r="D785" s="74" t="str">
        <f t="shared" si="25"/>
        <v>abr/2016</v>
      </c>
      <c r="E785" s="53">
        <v>42473</v>
      </c>
      <c r="F785" s="75">
        <v>14</v>
      </c>
      <c r="G785" s="72"/>
      <c r="H785" s="49" t="s">
        <v>770</v>
      </c>
      <c r="I785" s="49" t="s">
        <v>135</v>
      </c>
      <c r="J785" s="76">
        <v>55.27</v>
      </c>
      <c r="K785" s="83" t="str">
        <f>IFERROR(IFERROR(VLOOKUP(I785,'DE-PARA'!B:D,3,0),VLOOKUP(I785,'DE-PARA'!C:D,2,0)),"NÃO ENCONTRADO")</f>
        <v>Pessoal</v>
      </c>
      <c r="L785" s="50" t="str">
        <f>VLOOKUP(K785,'Base -Receita-Despesa'!$B:$P,1,FALSE)</f>
        <v>Pessoal</v>
      </c>
    </row>
    <row r="786" spans="1:12" ht="15" customHeight="1" x14ac:dyDescent="0.3">
      <c r="A786" s="82" t="str">
        <f t="shared" si="24"/>
        <v>2016</v>
      </c>
      <c r="B786" s="72" t="s">
        <v>131</v>
      </c>
      <c r="C786" s="73" t="s">
        <v>132</v>
      </c>
      <c r="D786" s="74" t="str">
        <f t="shared" si="25"/>
        <v>abr/2016</v>
      </c>
      <c r="E786" s="53">
        <v>42473</v>
      </c>
      <c r="F786" s="75">
        <v>295624</v>
      </c>
      <c r="G786" s="72"/>
      <c r="H786" s="49" t="s">
        <v>761</v>
      </c>
      <c r="I786" s="49" t="s">
        <v>135</v>
      </c>
      <c r="J786" s="76">
        <v>2000.7</v>
      </c>
      <c r="K786" s="83" t="str">
        <f>IFERROR(IFERROR(VLOOKUP(I786,'DE-PARA'!B:D,3,0),VLOOKUP(I786,'DE-PARA'!C:D,2,0)),"NÃO ENCONTRADO")</f>
        <v>Pessoal</v>
      </c>
      <c r="L786" s="50" t="str">
        <f>VLOOKUP(K786,'Base -Receita-Despesa'!$B:$P,1,FALSE)</f>
        <v>Pessoal</v>
      </c>
    </row>
    <row r="787" spans="1:12" ht="15" customHeight="1" x14ac:dyDescent="0.3">
      <c r="A787" s="82" t="str">
        <f t="shared" si="24"/>
        <v>2016</v>
      </c>
      <c r="B787" s="72" t="s">
        <v>131</v>
      </c>
      <c r="C787" s="73" t="s">
        <v>132</v>
      </c>
      <c r="D787" s="74" t="str">
        <f t="shared" si="25"/>
        <v>abr/2016</v>
      </c>
      <c r="E787" s="53">
        <v>42473</v>
      </c>
      <c r="F787" s="75">
        <v>131042</v>
      </c>
      <c r="G787" s="72"/>
      <c r="H787" s="49" t="s">
        <v>771</v>
      </c>
      <c r="I787" s="49" t="s">
        <v>135</v>
      </c>
      <c r="J787" s="76">
        <v>30</v>
      </c>
      <c r="K787" s="83" t="str">
        <f>IFERROR(IFERROR(VLOOKUP(I787,'DE-PARA'!B:D,3,0),VLOOKUP(I787,'DE-PARA'!C:D,2,0)),"NÃO ENCONTRADO")</f>
        <v>Pessoal</v>
      </c>
      <c r="L787" s="50" t="str">
        <f>VLOOKUP(K787,'Base -Receita-Despesa'!$B:$P,1,FALSE)</f>
        <v>Pessoal</v>
      </c>
    </row>
    <row r="788" spans="1:12" ht="15" customHeight="1" x14ac:dyDescent="0.3">
      <c r="A788" s="82" t="str">
        <f t="shared" si="24"/>
        <v>2016</v>
      </c>
      <c r="B788" s="72" t="s">
        <v>131</v>
      </c>
      <c r="C788" s="73" t="s">
        <v>132</v>
      </c>
      <c r="D788" s="74" t="str">
        <f t="shared" si="25"/>
        <v>abr/2016</v>
      </c>
      <c r="E788" s="53">
        <v>42473</v>
      </c>
      <c r="F788" s="75">
        <v>344102</v>
      </c>
      <c r="G788" s="72"/>
      <c r="H788" s="49" t="s">
        <v>368</v>
      </c>
      <c r="I788" s="49" t="s">
        <v>159</v>
      </c>
      <c r="J788" s="76">
        <v>-770.71</v>
      </c>
      <c r="K788" s="83" t="str">
        <f>IFERROR(IFERROR(VLOOKUP(I788,'DE-PARA'!B:D,3,0),VLOOKUP(I788,'DE-PARA'!C:D,2,0)),"NÃO ENCONTRADO")</f>
        <v>Materiais</v>
      </c>
      <c r="L788" s="50" t="str">
        <f>VLOOKUP(K788,'Base -Receita-Despesa'!$B:$P,1,FALSE)</f>
        <v>Materiais</v>
      </c>
    </row>
    <row r="789" spans="1:12" ht="15" customHeight="1" x14ac:dyDescent="0.3">
      <c r="A789" s="82" t="str">
        <f t="shared" si="24"/>
        <v>2016</v>
      </c>
      <c r="B789" s="72" t="s">
        <v>131</v>
      </c>
      <c r="C789" s="73" t="s">
        <v>132</v>
      </c>
      <c r="D789" s="74" t="str">
        <f t="shared" si="25"/>
        <v>abr/2016</v>
      </c>
      <c r="E789" s="53">
        <v>42473</v>
      </c>
      <c r="F789" s="75">
        <v>98927</v>
      </c>
      <c r="G789" s="72"/>
      <c r="H789" s="49" t="s">
        <v>772</v>
      </c>
      <c r="I789" s="49" t="s">
        <v>135</v>
      </c>
      <c r="J789" s="76">
        <v>-508.32</v>
      </c>
      <c r="K789" s="83" t="str">
        <f>IFERROR(IFERROR(VLOOKUP(I789,'DE-PARA'!B:D,3,0),VLOOKUP(I789,'DE-PARA'!C:D,2,0)),"NÃO ENCONTRADO")</f>
        <v>Pessoal</v>
      </c>
      <c r="L789" s="50" t="str">
        <f>VLOOKUP(K789,'Base -Receita-Despesa'!$B:$P,1,FALSE)</f>
        <v>Pessoal</v>
      </c>
    </row>
    <row r="790" spans="1:12" ht="15" customHeight="1" x14ac:dyDescent="0.3">
      <c r="A790" s="82" t="str">
        <f t="shared" si="24"/>
        <v>2016</v>
      </c>
      <c r="B790" s="72" t="s">
        <v>131</v>
      </c>
      <c r="C790" s="73" t="s">
        <v>132</v>
      </c>
      <c r="D790" s="74" t="str">
        <f t="shared" si="25"/>
        <v>abr/2016</v>
      </c>
      <c r="E790" s="53">
        <v>42473</v>
      </c>
      <c r="F790" s="75">
        <v>45313</v>
      </c>
      <c r="G790" s="72"/>
      <c r="H790" s="49" t="s">
        <v>773</v>
      </c>
      <c r="I790" s="49" t="s">
        <v>135</v>
      </c>
      <c r="J790" s="76">
        <v>-479.01</v>
      </c>
      <c r="K790" s="83" t="str">
        <f>IFERROR(IFERROR(VLOOKUP(I790,'DE-PARA'!B:D,3,0),VLOOKUP(I790,'DE-PARA'!C:D,2,0)),"NÃO ENCONTRADO")</f>
        <v>Pessoal</v>
      </c>
      <c r="L790" s="50" t="str">
        <f>VLOOKUP(K790,'Base -Receita-Despesa'!$B:$P,1,FALSE)</f>
        <v>Pessoal</v>
      </c>
    </row>
    <row r="791" spans="1:12" ht="15" customHeight="1" x14ac:dyDescent="0.3">
      <c r="A791" s="82" t="str">
        <f t="shared" si="24"/>
        <v>2016</v>
      </c>
      <c r="B791" s="72" t="s">
        <v>131</v>
      </c>
      <c r="C791" s="73" t="s">
        <v>132</v>
      </c>
      <c r="D791" s="74" t="str">
        <f t="shared" si="25"/>
        <v>abr/2016</v>
      </c>
      <c r="E791" s="53">
        <v>42473</v>
      </c>
      <c r="F791" s="75">
        <v>106566</v>
      </c>
      <c r="G791" s="72"/>
      <c r="H791" s="49" t="s">
        <v>774</v>
      </c>
      <c r="I791" s="49" t="s">
        <v>135</v>
      </c>
      <c r="J791" s="76">
        <v>-1155.3699999999999</v>
      </c>
      <c r="K791" s="83" t="str">
        <f>IFERROR(IFERROR(VLOOKUP(I791,'DE-PARA'!B:D,3,0),VLOOKUP(I791,'DE-PARA'!C:D,2,0)),"NÃO ENCONTRADO")</f>
        <v>Pessoal</v>
      </c>
      <c r="L791" s="50" t="str">
        <f>VLOOKUP(K791,'Base -Receita-Despesa'!$B:$P,1,FALSE)</f>
        <v>Pessoal</v>
      </c>
    </row>
    <row r="792" spans="1:12" ht="15" customHeight="1" x14ac:dyDescent="0.3">
      <c r="A792" s="82" t="str">
        <f t="shared" si="24"/>
        <v>2016</v>
      </c>
      <c r="B792" s="72" t="s">
        <v>131</v>
      </c>
      <c r="C792" s="73" t="s">
        <v>132</v>
      </c>
      <c r="D792" s="74" t="str">
        <f t="shared" si="25"/>
        <v>abr/2016</v>
      </c>
      <c r="E792" s="53">
        <v>42473</v>
      </c>
      <c r="F792" s="75">
        <v>45686</v>
      </c>
      <c r="G792" s="72"/>
      <c r="H792" s="49" t="s">
        <v>775</v>
      </c>
      <c r="I792" s="49" t="s">
        <v>135</v>
      </c>
      <c r="J792" s="76">
        <v>-508.22</v>
      </c>
      <c r="K792" s="83" t="str">
        <f>IFERROR(IFERROR(VLOOKUP(I792,'DE-PARA'!B:D,3,0),VLOOKUP(I792,'DE-PARA'!C:D,2,0)),"NÃO ENCONTRADO")</f>
        <v>Pessoal</v>
      </c>
      <c r="L792" s="50" t="str">
        <f>VLOOKUP(K792,'Base -Receita-Despesa'!$B:$P,1,FALSE)</f>
        <v>Pessoal</v>
      </c>
    </row>
    <row r="793" spans="1:12" ht="15" customHeight="1" x14ac:dyDescent="0.3">
      <c r="A793" s="82" t="str">
        <f t="shared" si="24"/>
        <v>2016</v>
      </c>
      <c r="B793" s="72" t="s">
        <v>131</v>
      </c>
      <c r="C793" s="73" t="s">
        <v>132</v>
      </c>
      <c r="D793" s="74" t="str">
        <f t="shared" si="25"/>
        <v>abr/2016</v>
      </c>
      <c r="E793" s="53">
        <v>42473</v>
      </c>
      <c r="F793" s="75">
        <v>14</v>
      </c>
      <c r="G793" s="72"/>
      <c r="H793" s="49" t="s">
        <v>330</v>
      </c>
      <c r="I793" s="49" t="s">
        <v>135</v>
      </c>
      <c r="J793" s="76">
        <v>287.76</v>
      </c>
      <c r="K793" s="83" t="str">
        <f>IFERROR(IFERROR(VLOOKUP(I793,'DE-PARA'!B:D,3,0),VLOOKUP(I793,'DE-PARA'!C:D,2,0)),"NÃO ENCONTRADO")</f>
        <v>Pessoal</v>
      </c>
      <c r="L793" s="50" t="str">
        <f>VLOOKUP(K793,'Base -Receita-Despesa'!$B:$P,1,FALSE)</f>
        <v>Pessoal</v>
      </c>
    </row>
    <row r="794" spans="1:12" ht="15" customHeight="1" x14ac:dyDescent="0.3">
      <c r="A794" s="82" t="str">
        <f t="shared" si="24"/>
        <v>2016</v>
      </c>
      <c r="B794" s="72" t="s">
        <v>131</v>
      </c>
      <c r="C794" s="73" t="s">
        <v>132</v>
      </c>
      <c r="D794" s="74" t="str">
        <f t="shared" si="25"/>
        <v>abr/2016</v>
      </c>
      <c r="E794" s="53">
        <v>42473</v>
      </c>
      <c r="F794" s="75">
        <v>135527</v>
      </c>
      <c r="G794" s="72"/>
      <c r="H794" s="49" t="s">
        <v>221</v>
      </c>
      <c r="I794" s="49" t="s">
        <v>110</v>
      </c>
      <c r="J794" s="76">
        <v>-3600</v>
      </c>
      <c r="K794" s="83" t="str">
        <f>IFERROR(IFERROR(VLOOKUP(I794,'DE-PARA'!B:D,3,0),VLOOKUP(I794,'DE-PARA'!C:D,2,0)),"NÃO ENCONTRADO")</f>
        <v>Serviços</v>
      </c>
      <c r="L794" s="50" t="str">
        <f>VLOOKUP(K794,'Base -Receita-Despesa'!$B:$P,1,FALSE)</f>
        <v>Serviços</v>
      </c>
    </row>
    <row r="795" spans="1:12" ht="15" customHeight="1" x14ac:dyDescent="0.3">
      <c r="A795" s="82" t="str">
        <f t="shared" si="24"/>
        <v>2016</v>
      </c>
      <c r="B795" s="72" t="s">
        <v>131</v>
      </c>
      <c r="C795" s="73" t="s">
        <v>132</v>
      </c>
      <c r="D795" s="74" t="str">
        <f t="shared" si="25"/>
        <v>abr/2016</v>
      </c>
      <c r="E795" s="53">
        <v>42473</v>
      </c>
      <c r="F795" s="75">
        <v>341757</v>
      </c>
      <c r="G795" s="72"/>
      <c r="H795" s="49" t="s">
        <v>588</v>
      </c>
      <c r="I795" s="49" t="s">
        <v>159</v>
      </c>
      <c r="J795" s="76">
        <v>-4023.97</v>
      </c>
      <c r="K795" s="83" t="str">
        <f>IFERROR(IFERROR(VLOOKUP(I795,'DE-PARA'!B:D,3,0),VLOOKUP(I795,'DE-PARA'!C:D,2,0)),"NÃO ENCONTRADO")</f>
        <v>Materiais</v>
      </c>
      <c r="L795" s="50" t="str">
        <f>VLOOKUP(K795,'Base -Receita-Despesa'!$B:$P,1,FALSE)</f>
        <v>Materiais</v>
      </c>
    </row>
    <row r="796" spans="1:12" ht="15" customHeight="1" x14ac:dyDescent="0.3">
      <c r="A796" s="82" t="str">
        <f t="shared" si="24"/>
        <v>2016</v>
      </c>
      <c r="B796" s="72" t="s">
        <v>131</v>
      </c>
      <c r="C796" s="73" t="s">
        <v>132</v>
      </c>
      <c r="D796" s="74" t="str">
        <f t="shared" si="25"/>
        <v>abr/2016</v>
      </c>
      <c r="E796" s="53">
        <v>42473</v>
      </c>
      <c r="F796" s="75">
        <v>342944</v>
      </c>
      <c r="G796" s="72"/>
      <c r="H796" s="49" t="s">
        <v>588</v>
      </c>
      <c r="I796" s="49" t="s">
        <v>159</v>
      </c>
      <c r="J796" s="76">
        <v>-2074.2600000000002</v>
      </c>
      <c r="K796" s="83" t="str">
        <f>IFERROR(IFERROR(VLOOKUP(I796,'DE-PARA'!B:D,3,0),VLOOKUP(I796,'DE-PARA'!C:D,2,0)),"NÃO ENCONTRADO")</f>
        <v>Materiais</v>
      </c>
      <c r="L796" s="50" t="str">
        <f>VLOOKUP(K796,'Base -Receita-Despesa'!$B:$P,1,FALSE)</f>
        <v>Materiais</v>
      </c>
    </row>
    <row r="797" spans="1:12" ht="15" customHeight="1" x14ac:dyDescent="0.3">
      <c r="A797" s="82" t="str">
        <f t="shared" si="24"/>
        <v>2016</v>
      </c>
      <c r="B797" s="72" t="s">
        <v>131</v>
      </c>
      <c r="C797" s="73" t="s">
        <v>132</v>
      </c>
      <c r="D797" s="74" t="str">
        <f t="shared" si="25"/>
        <v>abr/2016</v>
      </c>
      <c r="E797" s="53">
        <v>42474</v>
      </c>
      <c r="F797" s="75">
        <v>222466</v>
      </c>
      <c r="G797" s="72"/>
      <c r="H797" s="49" t="s">
        <v>594</v>
      </c>
      <c r="I797" s="49" t="s">
        <v>1048</v>
      </c>
      <c r="J797" s="76">
        <v>0</v>
      </c>
      <c r="K797" s="83" t="str">
        <f>IFERROR(IFERROR(VLOOKUP(I797,'DE-PARA'!B:D,3,0),VLOOKUP(I797,'DE-PARA'!C:D,2,0)),"NÃO ENCONTRADO")</f>
        <v>Saídas Da C/A Por Regates (-)</v>
      </c>
      <c r="L797" s="50" t="str">
        <f>VLOOKUP(K797,'Base -Receita-Despesa'!$B:$P,1,FALSE)</f>
        <v>SAÍDAS DA C/A POR REGATES (-)</v>
      </c>
    </row>
    <row r="798" spans="1:12" ht="15" customHeight="1" x14ac:dyDescent="0.3">
      <c r="A798" s="82" t="str">
        <f t="shared" si="24"/>
        <v>2016</v>
      </c>
      <c r="B798" s="72" t="s">
        <v>131</v>
      </c>
      <c r="C798" s="73" t="s">
        <v>132</v>
      </c>
      <c r="D798" s="74" t="str">
        <f t="shared" si="25"/>
        <v>abr/2016</v>
      </c>
      <c r="E798" s="53">
        <v>42474</v>
      </c>
      <c r="F798" s="75">
        <v>99533</v>
      </c>
      <c r="G798" s="72"/>
      <c r="H798" s="49" t="s">
        <v>552</v>
      </c>
      <c r="I798" s="49" t="s">
        <v>1497</v>
      </c>
      <c r="J798" s="76">
        <v>39804.75</v>
      </c>
      <c r="K798" s="83" t="str">
        <f>IFERROR(IFERROR(VLOOKUP(I798,'DE-PARA'!B:D,3,0),VLOOKUP(I798,'DE-PARA'!C:D,2,0)),"NÃO ENCONTRADO")</f>
        <v>Repasses Contrato de Gestão</v>
      </c>
      <c r="L798" s="50" t="str">
        <f>VLOOKUP(K798,'Base -Receita-Despesa'!$B:$P,1,FALSE)</f>
        <v>Repasses Contrato de Gestão</v>
      </c>
    </row>
    <row r="799" spans="1:12" ht="15" customHeight="1" x14ac:dyDescent="0.3">
      <c r="A799" s="82" t="str">
        <f t="shared" si="24"/>
        <v>2016</v>
      </c>
      <c r="B799" s="72" t="s">
        <v>131</v>
      </c>
      <c r="C799" s="73" t="s">
        <v>132</v>
      </c>
      <c r="D799" s="74" t="str">
        <f t="shared" si="25"/>
        <v>abr/2016</v>
      </c>
      <c r="E799" s="53">
        <v>42474</v>
      </c>
      <c r="F799" s="75">
        <v>100262</v>
      </c>
      <c r="G799" s="72"/>
      <c r="H799" s="49" t="s">
        <v>552</v>
      </c>
      <c r="I799" s="49" t="s">
        <v>1497</v>
      </c>
      <c r="J799" s="76">
        <v>443623.13</v>
      </c>
      <c r="K799" s="83" t="str">
        <f>IFERROR(IFERROR(VLOOKUP(I799,'DE-PARA'!B:D,3,0),VLOOKUP(I799,'DE-PARA'!C:D,2,0)),"NÃO ENCONTRADO")</f>
        <v>Repasses Contrato de Gestão</v>
      </c>
      <c r="L799" s="50" t="str">
        <f>VLOOKUP(K799,'Base -Receita-Despesa'!$B:$P,1,FALSE)</f>
        <v>Repasses Contrato de Gestão</v>
      </c>
    </row>
    <row r="800" spans="1:12" ht="15" customHeight="1" x14ac:dyDescent="0.3">
      <c r="A800" s="82" t="str">
        <f t="shared" si="24"/>
        <v>2016</v>
      </c>
      <c r="B800" s="72" t="s">
        <v>131</v>
      </c>
      <c r="C800" s="73" t="s">
        <v>132</v>
      </c>
      <c r="D800" s="74" t="str">
        <f t="shared" si="25"/>
        <v>abr/2016</v>
      </c>
      <c r="E800" s="53">
        <v>42474</v>
      </c>
      <c r="F800" s="75">
        <v>103562</v>
      </c>
      <c r="G800" s="72"/>
      <c r="H800" s="49" t="s">
        <v>776</v>
      </c>
      <c r="I800" s="49" t="s">
        <v>135</v>
      </c>
      <c r="J800" s="76">
        <v>5417.15</v>
      </c>
      <c r="K800" s="83" t="str">
        <f>IFERROR(IFERROR(VLOOKUP(I800,'DE-PARA'!B:D,3,0),VLOOKUP(I800,'DE-PARA'!C:D,2,0)),"NÃO ENCONTRADO")</f>
        <v>Pessoal</v>
      </c>
      <c r="L800" s="50" t="str">
        <f>VLOOKUP(K800,'Base -Receita-Despesa'!$B:$P,1,FALSE)</f>
        <v>Pessoal</v>
      </c>
    </row>
    <row r="801" spans="1:12" ht="15" customHeight="1" x14ac:dyDescent="0.3">
      <c r="A801" s="82" t="str">
        <f t="shared" si="24"/>
        <v>2016</v>
      </c>
      <c r="B801" s="72" t="s">
        <v>131</v>
      </c>
      <c r="C801" s="73" t="s">
        <v>132</v>
      </c>
      <c r="D801" s="74" t="str">
        <f t="shared" si="25"/>
        <v>abr/2016</v>
      </c>
      <c r="E801" s="53">
        <v>42474</v>
      </c>
      <c r="F801" s="75">
        <v>102618</v>
      </c>
      <c r="G801" s="72"/>
      <c r="H801" s="49" t="s">
        <v>777</v>
      </c>
      <c r="I801" s="49" t="s">
        <v>135</v>
      </c>
      <c r="J801" s="76">
        <v>2295.69</v>
      </c>
      <c r="K801" s="83" t="str">
        <f>IFERROR(IFERROR(VLOOKUP(I801,'DE-PARA'!B:D,3,0),VLOOKUP(I801,'DE-PARA'!C:D,2,0)),"NÃO ENCONTRADO")</f>
        <v>Pessoal</v>
      </c>
      <c r="L801" s="50" t="str">
        <f>VLOOKUP(K801,'Base -Receita-Despesa'!$B:$P,1,FALSE)</f>
        <v>Pessoal</v>
      </c>
    </row>
    <row r="802" spans="1:12" ht="15" customHeight="1" x14ac:dyDescent="0.3">
      <c r="A802" s="82" t="str">
        <f t="shared" si="24"/>
        <v>2016</v>
      </c>
      <c r="B802" s="72" t="s">
        <v>131</v>
      </c>
      <c r="C802" s="73" t="s">
        <v>132</v>
      </c>
      <c r="D802" s="74" t="str">
        <f t="shared" si="25"/>
        <v>abr/2016</v>
      </c>
      <c r="E802" s="53">
        <v>42474</v>
      </c>
      <c r="F802" s="75">
        <v>203100</v>
      </c>
      <c r="G802" s="72"/>
      <c r="H802" s="49" t="s">
        <v>778</v>
      </c>
      <c r="I802" s="49" t="s">
        <v>135</v>
      </c>
      <c r="J802" s="76">
        <v>100</v>
      </c>
      <c r="K802" s="83" t="str">
        <f>IFERROR(IFERROR(VLOOKUP(I802,'DE-PARA'!B:D,3,0),VLOOKUP(I802,'DE-PARA'!C:D,2,0)),"NÃO ENCONTRADO")</f>
        <v>Pessoal</v>
      </c>
      <c r="L802" s="50" t="str">
        <f>VLOOKUP(K802,'Base -Receita-Despesa'!$B:$P,1,FALSE)</f>
        <v>Pessoal</v>
      </c>
    </row>
    <row r="803" spans="1:12" ht="15" customHeight="1" x14ac:dyDescent="0.3">
      <c r="A803" s="82" t="str">
        <f t="shared" si="24"/>
        <v>2016</v>
      </c>
      <c r="B803" s="72" t="s">
        <v>131</v>
      </c>
      <c r="C803" s="73" t="s">
        <v>132</v>
      </c>
      <c r="D803" s="74" t="str">
        <f t="shared" si="25"/>
        <v>abr/2016</v>
      </c>
      <c r="E803" s="53">
        <v>42474</v>
      </c>
      <c r="F803" s="75">
        <v>84337</v>
      </c>
      <c r="G803" s="72"/>
      <c r="H803" s="49" t="s">
        <v>739</v>
      </c>
      <c r="I803" s="49" t="s">
        <v>135</v>
      </c>
      <c r="J803" s="76">
        <v>-29.49</v>
      </c>
      <c r="K803" s="83" t="str">
        <f>IFERROR(IFERROR(VLOOKUP(I803,'DE-PARA'!B:D,3,0),VLOOKUP(I803,'DE-PARA'!C:D,2,0)),"NÃO ENCONTRADO")</f>
        <v>Pessoal</v>
      </c>
      <c r="L803" s="50" t="str">
        <f>VLOOKUP(K803,'Base -Receita-Despesa'!$B:$P,1,FALSE)</f>
        <v>Pessoal</v>
      </c>
    </row>
    <row r="804" spans="1:12" ht="15" customHeight="1" x14ac:dyDescent="0.3">
      <c r="A804" s="82" t="str">
        <f t="shared" si="24"/>
        <v>2016</v>
      </c>
      <c r="B804" s="72" t="s">
        <v>131</v>
      </c>
      <c r="C804" s="73" t="s">
        <v>132</v>
      </c>
      <c r="D804" s="74" t="str">
        <f t="shared" si="25"/>
        <v>abr/2016</v>
      </c>
      <c r="E804" s="53">
        <v>42474</v>
      </c>
      <c r="F804" s="75" t="s">
        <v>133</v>
      </c>
      <c r="G804" s="72"/>
      <c r="H804" s="49" t="s">
        <v>779</v>
      </c>
      <c r="I804" s="49" t="s">
        <v>135</v>
      </c>
      <c r="J804" s="76">
        <v>-5879.11</v>
      </c>
      <c r="K804" s="83" t="str">
        <f>IFERROR(IFERROR(VLOOKUP(I804,'DE-PARA'!B:D,3,0),VLOOKUP(I804,'DE-PARA'!C:D,2,0)),"NÃO ENCONTRADO")</f>
        <v>Pessoal</v>
      </c>
      <c r="L804" s="50" t="str">
        <f>VLOOKUP(K804,'Base -Receita-Despesa'!$B:$P,1,FALSE)</f>
        <v>Pessoal</v>
      </c>
    </row>
    <row r="805" spans="1:12" ht="15" customHeight="1" x14ac:dyDescent="0.3">
      <c r="A805" s="82" t="str">
        <f t="shared" si="24"/>
        <v>2016</v>
      </c>
      <c r="B805" s="72" t="s">
        <v>131</v>
      </c>
      <c r="C805" s="73" t="s">
        <v>132</v>
      </c>
      <c r="D805" s="74" t="str">
        <f t="shared" si="25"/>
        <v>abr/2016</v>
      </c>
      <c r="E805" s="53">
        <v>42474</v>
      </c>
      <c r="F805" s="75">
        <v>780465</v>
      </c>
      <c r="G805" s="72"/>
      <c r="H805" s="49" t="s">
        <v>588</v>
      </c>
      <c r="I805" s="49" t="s">
        <v>159</v>
      </c>
      <c r="J805" s="76">
        <v>-805.78</v>
      </c>
      <c r="K805" s="83" t="str">
        <f>IFERROR(IFERROR(VLOOKUP(I805,'DE-PARA'!B:D,3,0),VLOOKUP(I805,'DE-PARA'!C:D,2,0)),"NÃO ENCONTRADO")</f>
        <v>Materiais</v>
      </c>
      <c r="L805" s="50" t="str">
        <f>VLOOKUP(K805,'Base -Receita-Despesa'!$B:$P,1,FALSE)</f>
        <v>Materiais</v>
      </c>
    </row>
    <row r="806" spans="1:12" ht="15" customHeight="1" x14ac:dyDescent="0.3">
      <c r="A806" s="82" t="str">
        <f t="shared" si="24"/>
        <v>2016</v>
      </c>
      <c r="B806" s="72" t="s">
        <v>131</v>
      </c>
      <c r="C806" s="73" t="s">
        <v>132</v>
      </c>
      <c r="D806" s="74" t="str">
        <f t="shared" si="25"/>
        <v>abr/2016</v>
      </c>
      <c r="E806" s="53">
        <v>42474</v>
      </c>
      <c r="F806" s="75">
        <v>782474</v>
      </c>
      <c r="G806" s="72"/>
      <c r="H806" s="49" t="s">
        <v>588</v>
      </c>
      <c r="I806" s="49" t="s">
        <v>159</v>
      </c>
      <c r="J806" s="76">
        <v>-312.64</v>
      </c>
      <c r="K806" s="83" t="str">
        <f>IFERROR(IFERROR(VLOOKUP(I806,'DE-PARA'!B:D,3,0),VLOOKUP(I806,'DE-PARA'!C:D,2,0)),"NÃO ENCONTRADO")</f>
        <v>Materiais</v>
      </c>
      <c r="L806" s="50" t="str">
        <f>VLOOKUP(K806,'Base -Receita-Despesa'!$B:$P,1,FALSE)</f>
        <v>Materiais</v>
      </c>
    </row>
    <row r="807" spans="1:12" ht="15" customHeight="1" x14ac:dyDescent="0.3">
      <c r="A807" s="82" t="str">
        <f t="shared" si="24"/>
        <v>2016</v>
      </c>
      <c r="B807" s="72" t="s">
        <v>131</v>
      </c>
      <c r="C807" s="73" t="s">
        <v>132</v>
      </c>
      <c r="D807" s="74" t="str">
        <f t="shared" si="25"/>
        <v>abr/2016</v>
      </c>
      <c r="E807" s="53">
        <v>42475</v>
      </c>
      <c r="F807" s="75">
        <v>176042</v>
      </c>
      <c r="G807" s="72"/>
      <c r="H807" s="49" t="s">
        <v>193</v>
      </c>
      <c r="I807" s="49" t="s">
        <v>194</v>
      </c>
      <c r="J807" s="76">
        <v>-1361.6</v>
      </c>
      <c r="K807" s="83" t="str">
        <f>IFERROR(IFERROR(VLOOKUP(I807,'DE-PARA'!B:D,3,0),VLOOKUP(I807,'DE-PARA'!C:D,2,0)),"NÃO ENCONTRADO")</f>
        <v>Despesas com Viagens</v>
      </c>
      <c r="L807" s="50" t="str">
        <f>VLOOKUP(K807,'Base -Receita-Despesa'!$B:$P,1,FALSE)</f>
        <v>Despesas com Viagens</v>
      </c>
    </row>
    <row r="808" spans="1:12" ht="15" customHeight="1" x14ac:dyDescent="0.3">
      <c r="A808" s="82" t="str">
        <f t="shared" si="24"/>
        <v>2016</v>
      </c>
      <c r="B808" s="72" t="s">
        <v>131</v>
      </c>
      <c r="C808" s="73" t="s">
        <v>132</v>
      </c>
      <c r="D808" s="74" t="str">
        <f t="shared" si="25"/>
        <v>abr/2016</v>
      </c>
      <c r="E808" s="53">
        <v>42475</v>
      </c>
      <c r="F808" s="75">
        <v>171599</v>
      </c>
      <c r="G808" s="72"/>
      <c r="H808" s="49" t="s">
        <v>271</v>
      </c>
      <c r="I808" s="49" t="s">
        <v>138</v>
      </c>
      <c r="J808" s="76">
        <v>-2450</v>
      </c>
      <c r="K808" s="83" t="str">
        <f>IFERROR(IFERROR(VLOOKUP(I808,'DE-PARA'!B:D,3,0),VLOOKUP(I808,'DE-PARA'!C:D,2,0)),"NÃO ENCONTRADO")</f>
        <v>Serviços</v>
      </c>
      <c r="L808" s="50" t="str">
        <f>VLOOKUP(K808,'Base -Receita-Despesa'!$B:$P,1,FALSE)</f>
        <v>Serviços</v>
      </c>
    </row>
    <row r="809" spans="1:12" ht="15" customHeight="1" x14ac:dyDescent="0.3">
      <c r="A809" s="82" t="str">
        <f t="shared" si="24"/>
        <v>2016</v>
      </c>
      <c r="B809" s="72" t="s">
        <v>131</v>
      </c>
      <c r="C809" s="73" t="s">
        <v>132</v>
      </c>
      <c r="D809" s="74" t="str">
        <f t="shared" si="25"/>
        <v>abr/2016</v>
      </c>
      <c r="E809" s="53">
        <v>42475</v>
      </c>
      <c r="F809" s="75">
        <v>476520</v>
      </c>
      <c r="G809" s="72"/>
      <c r="H809" s="49" t="s">
        <v>176</v>
      </c>
      <c r="I809" s="49" t="s">
        <v>177</v>
      </c>
      <c r="J809" s="76">
        <v>-3188.01</v>
      </c>
      <c r="K809" s="83" t="str">
        <f>IFERROR(IFERROR(VLOOKUP(I809,'DE-PARA'!B:D,3,0),VLOOKUP(I809,'DE-PARA'!C:D,2,0)),"NÃO ENCONTRADO")</f>
        <v>Materiais</v>
      </c>
      <c r="L809" s="50" t="str">
        <f>VLOOKUP(K809,'Base -Receita-Despesa'!$B:$P,1,FALSE)</f>
        <v>Materiais</v>
      </c>
    </row>
    <row r="810" spans="1:12" ht="15" customHeight="1" x14ac:dyDescent="0.3">
      <c r="A810" s="82" t="str">
        <f t="shared" si="24"/>
        <v>2016</v>
      </c>
      <c r="B810" s="72" t="s">
        <v>131</v>
      </c>
      <c r="C810" s="73" t="s">
        <v>132</v>
      </c>
      <c r="D810" s="74" t="str">
        <f t="shared" si="25"/>
        <v>abr/2016</v>
      </c>
      <c r="E810" s="53">
        <v>42475</v>
      </c>
      <c r="F810" s="75">
        <v>1169</v>
      </c>
      <c r="G810" s="72"/>
      <c r="H810" s="49" t="s">
        <v>780</v>
      </c>
      <c r="I810" s="49" t="s">
        <v>135</v>
      </c>
      <c r="J810" s="76">
        <v>255</v>
      </c>
      <c r="K810" s="83" t="str">
        <f>IFERROR(IFERROR(VLOOKUP(I810,'DE-PARA'!B:D,3,0),VLOOKUP(I810,'DE-PARA'!C:D,2,0)),"NÃO ENCONTRADO")</f>
        <v>Pessoal</v>
      </c>
      <c r="L810" s="50" t="str">
        <f>VLOOKUP(K810,'Base -Receita-Despesa'!$B:$P,1,FALSE)</f>
        <v>Pessoal</v>
      </c>
    </row>
    <row r="811" spans="1:12" ht="15" customHeight="1" x14ac:dyDescent="0.3">
      <c r="A811" s="82" t="str">
        <f t="shared" si="24"/>
        <v>2016</v>
      </c>
      <c r="B811" s="72" t="s">
        <v>131</v>
      </c>
      <c r="C811" s="73" t="s">
        <v>132</v>
      </c>
      <c r="D811" s="74" t="str">
        <f t="shared" si="25"/>
        <v>abr/2016</v>
      </c>
      <c r="E811" s="53">
        <v>42475</v>
      </c>
      <c r="F811" s="75">
        <v>271293</v>
      </c>
      <c r="G811" s="72"/>
      <c r="H811" s="49" t="s">
        <v>781</v>
      </c>
      <c r="I811" s="49" t="s">
        <v>135</v>
      </c>
      <c r="J811" s="76">
        <v>318.19</v>
      </c>
      <c r="K811" s="83" t="str">
        <f>IFERROR(IFERROR(VLOOKUP(I811,'DE-PARA'!B:D,3,0),VLOOKUP(I811,'DE-PARA'!C:D,2,0)),"NÃO ENCONTRADO")</f>
        <v>Pessoal</v>
      </c>
      <c r="L811" s="50" t="str">
        <f>VLOOKUP(K811,'Base -Receita-Despesa'!$B:$P,1,FALSE)</f>
        <v>Pessoal</v>
      </c>
    </row>
    <row r="812" spans="1:12" ht="15" customHeight="1" x14ac:dyDescent="0.3">
      <c r="A812" s="82" t="str">
        <f t="shared" si="24"/>
        <v>2016</v>
      </c>
      <c r="B812" s="72" t="s">
        <v>131</v>
      </c>
      <c r="C812" s="73" t="s">
        <v>132</v>
      </c>
      <c r="D812" s="74" t="str">
        <f t="shared" si="25"/>
        <v>abr/2016</v>
      </c>
      <c r="E812" s="53">
        <v>42475</v>
      </c>
      <c r="F812" s="75">
        <v>173210</v>
      </c>
      <c r="G812" s="72"/>
      <c r="H812" s="49" t="s">
        <v>165</v>
      </c>
      <c r="I812" s="49" t="s">
        <v>113</v>
      </c>
      <c r="J812" s="76">
        <v>-78950.61</v>
      </c>
      <c r="K812" s="83" t="str">
        <f>IFERROR(IFERROR(VLOOKUP(I812,'DE-PARA'!B:D,3,0),VLOOKUP(I812,'DE-PARA'!C:D,2,0)),"NÃO ENCONTRADO")</f>
        <v>Serviços</v>
      </c>
      <c r="L812" s="50" t="str">
        <f>VLOOKUP(K812,'Base -Receita-Despesa'!$B:$P,1,FALSE)</f>
        <v>Serviços</v>
      </c>
    </row>
    <row r="813" spans="1:12" ht="15" customHeight="1" x14ac:dyDescent="0.3">
      <c r="A813" s="82" t="str">
        <f t="shared" si="24"/>
        <v>2016</v>
      </c>
      <c r="B813" s="72" t="s">
        <v>131</v>
      </c>
      <c r="C813" s="73" t="s">
        <v>132</v>
      </c>
      <c r="D813" s="74" t="str">
        <f t="shared" si="25"/>
        <v>abr/2016</v>
      </c>
      <c r="E813" s="53">
        <v>42475</v>
      </c>
      <c r="F813" s="75">
        <v>197836</v>
      </c>
      <c r="G813" s="72"/>
      <c r="H813" s="49" t="s">
        <v>782</v>
      </c>
      <c r="I813" s="49" t="s">
        <v>168</v>
      </c>
      <c r="J813" s="76">
        <v>-257.64</v>
      </c>
      <c r="K813" s="83" t="str">
        <f>IFERROR(IFERROR(VLOOKUP(I813,'DE-PARA'!B:D,3,0),VLOOKUP(I813,'DE-PARA'!C:D,2,0)),"NÃO ENCONTRADO")</f>
        <v>Pessoal</v>
      </c>
      <c r="L813" s="50" t="str">
        <f>VLOOKUP(K813,'Base -Receita-Despesa'!$B:$P,1,FALSE)</f>
        <v>Pessoal</v>
      </c>
    </row>
    <row r="814" spans="1:12" ht="15" customHeight="1" x14ac:dyDescent="0.3">
      <c r="A814" s="82" t="str">
        <f t="shared" si="24"/>
        <v>2016</v>
      </c>
      <c r="B814" s="72" t="s">
        <v>131</v>
      </c>
      <c r="C814" s="73" t="s">
        <v>132</v>
      </c>
      <c r="D814" s="74" t="str">
        <f t="shared" si="25"/>
        <v>abr/2016</v>
      </c>
      <c r="E814" s="53">
        <v>42475</v>
      </c>
      <c r="F814" s="75">
        <v>197283</v>
      </c>
      <c r="G814" s="72"/>
      <c r="H814" s="49" t="s">
        <v>783</v>
      </c>
      <c r="I814" s="49" t="s">
        <v>168</v>
      </c>
      <c r="J814" s="76">
        <v>-32.64</v>
      </c>
      <c r="K814" s="83" t="str">
        <f>IFERROR(IFERROR(VLOOKUP(I814,'DE-PARA'!B:D,3,0),VLOOKUP(I814,'DE-PARA'!C:D,2,0)),"NÃO ENCONTRADO")</f>
        <v>Pessoal</v>
      </c>
      <c r="L814" s="50" t="str">
        <f>VLOOKUP(K814,'Base -Receita-Despesa'!$B:$P,1,FALSE)</f>
        <v>Pessoal</v>
      </c>
    </row>
    <row r="815" spans="1:12" ht="15" customHeight="1" x14ac:dyDescent="0.3">
      <c r="A815" s="82" t="str">
        <f t="shared" si="24"/>
        <v>2016</v>
      </c>
      <c r="B815" s="72" t="s">
        <v>131</v>
      </c>
      <c r="C815" s="73" t="s">
        <v>132</v>
      </c>
      <c r="D815" s="74" t="str">
        <f t="shared" si="25"/>
        <v>abr/2016</v>
      </c>
      <c r="E815" s="53">
        <v>42475</v>
      </c>
      <c r="F815" s="75">
        <v>196677</v>
      </c>
      <c r="G815" s="72"/>
      <c r="H815" s="49" t="s">
        <v>784</v>
      </c>
      <c r="I815" s="49" t="s">
        <v>168</v>
      </c>
      <c r="J815" s="76">
        <v>-36.69</v>
      </c>
      <c r="K815" s="83" t="str">
        <f>IFERROR(IFERROR(VLOOKUP(I815,'DE-PARA'!B:D,3,0),VLOOKUP(I815,'DE-PARA'!C:D,2,0)),"NÃO ENCONTRADO")</f>
        <v>Pessoal</v>
      </c>
      <c r="L815" s="50" t="str">
        <f>VLOOKUP(K815,'Base -Receita-Despesa'!$B:$P,1,FALSE)</f>
        <v>Pessoal</v>
      </c>
    </row>
    <row r="816" spans="1:12" ht="15" customHeight="1" x14ac:dyDescent="0.3">
      <c r="A816" s="82" t="str">
        <f t="shared" si="24"/>
        <v>2016</v>
      </c>
      <c r="B816" s="72" t="s">
        <v>131</v>
      </c>
      <c r="C816" s="73" t="s">
        <v>132</v>
      </c>
      <c r="D816" s="74" t="str">
        <f t="shared" si="25"/>
        <v>abr/2016</v>
      </c>
      <c r="E816" s="53">
        <v>42475</v>
      </c>
      <c r="F816" s="75">
        <v>198407</v>
      </c>
      <c r="G816" s="72"/>
      <c r="H816" s="49" t="s">
        <v>785</v>
      </c>
      <c r="I816" s="49" t="s">
        <v>171</v>
      </c>
      <c r="J816" s="76">
        <v>-627.11</v>
      </c>
      <c r="K816" s="83" t="str">
        <f>IFERROR(IFERROR(VLOOKUP(I816,'DE-PARA'!B:D,3,0),VLOOKUP(I816,'DE-PARA'!C:D,2,0)),"NÃO ENCONTRADO")</f>
        <v>Serviços</v>
      </c>
      <c r="L816" s="50" t="str">
        <f>VLOOKUP(K816,'Base -Receita-Despesa'!$B:$P,1,FALSE)</f>
        <v>Serviços</v>
      </c>
    </row>
    <row r="817" spans="1:12" ht="15" customHeight="1" x14ac:dyDescent="0.3">
      <c r="A817" s="82" t="str">
        <f t="shared" si="24"/>
        <v>2016</v>
      </c>
      <c r="B817" s="72" t="s">
        <v>131</v>
      </c>
      <c r="C817" s="73" t="s">
        <v>132</v>
      </c>
      <c r="D817" s="74" t="str">
        <f t="shared" si="25"/>
        <v>abr/2016</v>
      </c>
      <c r="E817" s="53">
        <v>42475</v>
      </c>
      <c r="F817" s="75">
        <v>192531</v>
      </c>
      <c r="G817" s="72"/>
      <c r="H817" s="49" t="s">
        <v>786</v>
      </c>
      <c r="I817" s="49" t="s">
        <v>113</v>
      </c>
      <c r="J817" s="76">
        <v>-3982.64</v>
      </c>
      <c r="K817" s="83" t="str">
        <f>IFERROR(IFERROR(VLOOKUP(I817,'DE-PARA'!B:D,3,0),VLOOKUP(I817,'DE-PARA'!C:D,2,0)),"NÃO ENCONTRADO")</f>
        <v>Serviços</v>
      </c>
      <c r="L817" s="50" t="str">
        <f>VLOOKUP(K817,'Base -Receita-Despesa'!$B:$P,1,FALSE)</f>
        <v>Serviços</v>
      </c>
    </row>
    <row r="818" spans="1:12" ht="15" customHeight="1" x14ac:dyDescent="0.3">
      <c r="A818" s="82" t="str">
        <f t="shared" si="24"/>
        <v>2016</v>
      </c>
      <c r="B818" s="72" t="s">
        <v>131</v>
      </c>
      <c r="C818" s="73" t="s">
        <v>132</v>
      </c>
      <c r="D818" s="74" t="str">
        <f t="shared" si="25"/>
        <v>abr/2016</v>
      </c>
      <c r="E818" s="53">
        <v>42475</v>
      </c>
      <c r="F818" s="75">
        <v>193815</v>
      </c>
      <c r="G818" s="72"/>
      <c r="H818" s="49" t="s">
        <v>787</v>
      </c>
      <c r="I818" s="49" t="s">
        <v>173</v>
      </c>
      <c r="J818" s="76">
        <v>-774.64</v>
      </c>
      <c r="K818" s="83" t="str">
        <f>IFERROR(IFERROR(VLOOKUP(I818,'DE-PARA'!B:D,3,0),VLOOKUP(I818,'DE-PARA'!C:D,2,0)),"NÃO ENCONTRADO")</f>
        <v>Serviços</v>
      </c>
      <c r="L818" s="50" t="str">
        <f>VLOOKUP(K818,'Base -Receita-Despesa'!$B:$P,1,FALSE)</f>
        <v>Serviços</v>
      </c>
    </row>
    <row r="819" spans="1:12" ht="15" customHeight="1" x14ac:dyDescent="0.3">
      <c r="A819" s="82" t="str">
        <f t="shared" si="24"/>
        <v>2016</v>
      </c>
      <c r="B819" s="72" t="s">
        <v>131</v>
      </c>
      <c r="C819" s="73" t="s">
        <v>132</v>
      </c>
      <c r="D819" s="74" t="str">
        <f t="shared" si="25"/>
        <v>abr/2016</v>
      </c>
      <c r="E819" s="53">
        <v>42475</v>
      </c>
      <c r="F819" s="75">
        <v>195102</v>
      </c>
      <c r="G819" s="72"/>
      <c r="H819" s="49" t="s">
        <v>788</v>
      </c>
      <c r="I819" s="49" t="s">
        <v>173</v>
      </c>
      <c r="J819" s="76">
        <v>-428.22</v>
      </c>
      <c r="K819" s="83" t="str">
        <f>IFERROR(IFERROR(VLOOKUP(I819,'DE-PARA'!B:D,3,0),VLOOKUP(I819,'DE-PARA'!C:D,2,0)),"NÃO ENCONTRADO")</f>
        <v>Serviços</v>
      </c>
      <c r="L819" s="50" t="str">
        <f>VLOOKUP(K819,'Base -Receita-Despesa'!$B:$P,1,FALSE)</f>
        <v>Serviços</v>
      </c>
    </row>
    <row r="820" spans="1:12" ht="15" customHeight="1" x14ac:dyDescent="0.3">
      <c r="A820" s="82" t="str">
        <f t="shared" si="24"/>
        <v>2016</v>
      </c>
      <c r="B820" s="72" t="s">
        <v>131</v>
      </c>
      <c r="C820" s="73" t="s">
        <v>132</v>
      </c>
      <c r="D820" s="74" t="str">
        <f t="shared" si="25"/>
        <v>abr/2016</v>
      </c>
      <c r="E820" s="53">
        <v>42475</v>
      </c>
      <c r="F820" s="75">
        <v>466187</v>
      </c>
      <c r="G820" s="72"/>
      <c r="H820" s="49" t="s">
        <v>789</v>
      </c>
      <c r="I820" s="49" t="s">
        <v>204</v>
      </c>
      <c r="J820" s="76">
        <v>-81.72</v>
      </c>
      <c r="K820" s="83" t="str">
        <f>IFERROR(IFERROR(VLOOKUP(I820,'DE-PARA'!B:D,3,0),VLOOKUP(I820,'DE-PARA'!C:D,2,0)),"NÃO ENCONTRADO")</f>
        <v>Serviços</v>
      </c>
      <c r="L820" s="50" t="str">
        <f>VLOOKUP(K820,'Base -Receita-Despesa'!$B:$P,1,FALSE)</f>
        <v>Serviços</v>
      </c>
    </row>
    <row r="821" spans="1:12" ht="15" customHeight="1" x14ac:dyDescent="0.3">
      <c r="A821" s="82" t="str">
        <f t="shared" si="24"/>
        <v>2016</v>
      </c>
      <c r="B821" s="72" t="s">
        <v>131</v>
      </c>
      <c r="C821" s="73" t="s">
        <v>132</v>
      </c>
      <c r="D821" s="74" t="str">
        <f t="shared" si="25"/>
        <v>abr/2016</v>
      </c>
      <c r="E821" s="53">
        <v>42475</v>
      </c>
      <c r="F821" s="75">
        <v>381764</v>
      </c>
      <c r="G821" s="72"/>
      <c r="H821" s="49" t="s">
        <v>179</v>
      </c>
      <c r="I821" s="49" t="s">
        <v>180</v>
      </c>
      <c r="J821" s="76">
        <v>-33655.65</v>
      </c>
      <c r="K821" s="83" t="str">
        <f>IFERROR(IFERROR(VLOOKUP(I821,'DE-PARA'!B:D,3,0),VLOOKUP(I821,'DE-PARA'!C:D,2,0)),"NÃO ENCONTRADO")</f>
        <v>Serviços</v>
      </c>
      <c r="L821" s="50" t="str">
        <f>VLOOKUP(K821,'Base -Receita-Despesa'!$B:$P,1,FALSE)</f>
        <v>Serviços</v>
      </c>
    </row>
    <row r="822" spans="1:12" ht="15" customHeight="1" x14ac:dyDescent="0.3">
      <c r="A822" s="82" t="str">
        <f t="shared" si="24"/>
        <v>2016</v>
      </c>
      <c r="B822" s="72" t="s">
        <v>131</v>
      </c>
      <c r="C822" s="73" t="s">
        <v>132</v>
      </c>
      <c r="D822" s="74" t="str">
        <f t="shared" si="25"/>
        <v>abr/2016</v>
      </c>
      <c r="E822" s="53">
        <v>42475</v>
      </c>
      <c r="F822" s="75">
        <v>176452</v>
      </c>
      <c r="G822" s="72"/>
      <c r="H822" s="49" t="s">
        <v>211</v>
      </c>
      <c r="I822" s="49" t="s">
        <v>157</v>
      </c>
      <c r="J822" s="76">
        <v>-7000</v>
      </c>
      <c r="K822" s="83" t="str">
        <f>IFERROR(IFERROR(VLOOKUP(I822,'DE-PARA'!B:D,3,0),VLOOKUP(I822,'DE-PARA'!C:D,2,0)),"NÃO ENCONTRADO")</f>
        <v>Concessionárias (água, luz e telefone)</v>
      </c>
      <c r="L822" s="50" t="str">
        <f>VLOOKUP(K822,'Base -Receita-Despesa'!$B:$P,1,FALSE)</f>
        <v>Concessionárias (água, luz e telefone)</v>
      </c>
    </row>
    <row r="823" spans="1:12" ht="15" customHeight="1" x14ac:dyDescent="0.3">
      <c r="A823" s="82" t="str">
        <f t="shared" si="24"/>
        <v>2016</v>
      </c>
      <c r="B823" s="72" t="s">
        <v>131</v>
      </c>
      <c r="C823" s="73" t="s">
        <v>132</v>
      </c>
      <c r="D823" s="74" t="str">
        <f t="shared" si="25"/>
        <v>abr/2016</v>
      </c>
      <c r="E823" s="53">
        <v>42475</v>
      </c>
      <c r="F823" s="75">
        <v>468230</v>
      </c>
      <c r="G823" s="72"/>
      <c r="H823" s="49" t="s">
        <v>166</v>
      </c>
      <c r="I823" s="49" t="s">
        <v>167</v>
      </c>
      <c r="J823" s="76">
        <v>-316.7</v>
      </c>
      <c r="K823" s="83" t="str">
        <f>IFERROR(IFERROR(VLOOKUP(I823,'DE-PARA'!B:D,3,0),VLOOKUP(I823,'DE-PARA'!C:D,2,0)),"NÃO ENCONTRADO")</f>
        <v>Materiais</v>
      </c>
      <c r="L823" s="50" t="str">
        <f>VLOOKUP(K823,'Base -Receita-Despesa'!$B:$P,1,FALSE)</f>
        <v>Materiais</v>
      </c>
    </row>
    <row r="824" spans="1:12" ht="15" customHeight="1" x14ac:dyDescent="0.3">
      <c r="A824" s="82" t="str">
        <f t="shared" si="24"/>
        <v>2016</v>
      </c>
      <c r="B824" s="72" t="s">
        <v>131</v>
      </c>
      <c r="C824" s="73" t="s">
        <v>132</v>
      </c>
      <c r="D824" s="74" t="str">
        <f t="shared" si="25"/>
        <v>abr/2016</v>
      </c>
      <c r="E824" s="53">
        <v>42475</v>
      </c>
      <c r="F824" s="75">
        <v>175643</v>
      </c>
      <c r="G824" s="72"/>
      <c r="H824" s="49" t="s">
        <v>182</v>
      </c>
      <c r="I824" s="49" t="s">
        <v>138</v>
      </c>
      <c r="J824" s="76">
        <v>-4714.08</v>
      </c>
      <c r="K824" s="83" t="str">
        <f>IFERROR(IFERROR(VLOOKUP(I824,'DE-PARA'!B:D,3,0),VLOOKUP(I824,'DE-PARA'!C:D,2,0)),"NÃO ENCONTRADO")</f>
        <v>Serviços</v>
      </c>
      <c r="L824" s="50" t="str">
        <f>VLOOKUP(K824,'Base -Receita-Despesa'!$B:$P,1,FALSE)</f>
        <v>Serviços</v>
      </c>
    </row>
    <row r="825" spans="1:12" ht="15" customHeight="1" x14ac:dyDescent="0.3">
      <c r="A825" s="82" t="str">
        <f t="shared" si="24"/>
        <v>2016</v>
      </c>
      <c r="B825" s="72" t="s">
        <v>131</v>
      </c>
      <c r="C825" s="73" t="s">
        <v>132</v>
      </c>
      <c r="D825" s="74" t="str">
        <f t="shared" si="25"/>
        <v>abr/2016</v>
      </c>
      <c r="E825" s="53">
        <v>42475</v>
      </c>
      <c r="F825" s="75">
        <v>470490</v>
      </c>
      <c r="G825" s="72"/>
      <c r="H825" s="49" t="s">
        <v>588</v>
      </c>
      <c r="I825" s="49" t="s">
        <v>159</v>
      </c>
      <c r="J825" s="76">
        <v>-746.68</v>
      </c>
      <c r="K825" s="83" t="str">
        <f>IFERROR(IFERROR(VLOOKUP(I825,'DE-PARA'!B:D,3,0),VLOOKUP(I825,'DE-PARA'!C:D,2,0)),"NÃO ENCONTRADO")</f>
        <v>Materiais</v>
      </c>
      <c r="L825" s="50" t="str">
        <f>VLOOKUP(K825,'Base -Receita-Despesa'!$B:$P,1,FALSE)</f>
        <v>Materiais</v>
      </c>
    </row>
    <row r="826" spans="1:12" ht="15" customHeight="1" x14ac:dyDescent="0.3">
      <c r="A826" s="82" t="str">
        <f t="shared" si="24"/>
        <v>2016</v>
      </c>
      <c r="B826" s="72" t="s">
        <v>131</v>
      </c>
      <c r="C826" s="73" t="s">
        <v>132</v>
      </c>
      <c r="D826" s="74" t="str">
        <f t="shared" si="25"/>
        <v>abr/2016</v>
      </c>
      <c r="E826" s="53">
        <v>42475</v>
      </c>
      <c r="F826" s="75">
        <v>473673</v>
      </c>
      <c r="G826" s="72"/>
      <c r="H826" s="49" t="s">
        <v>588</v>
      </c>
      <c r="I826" s="49" t="s">
        <v>159</v>
      </c>
      <c r="J826" s="76">
        <v>-776.73</v>
      </c>
      <c r="K826" s="83" t="str">
        <f>IFERROR(IFERROR(VLOOKUP(I826,'DE-PARA'!B:D,3,0),VLOOKUP(I826,'DE-PARA'!C:D,2,0)),"NÃO ENCONTRADO")</f>
        <v>Materiais</v>
      </c>
      <c r="L826" s="50" t="str">
        <f>VLOOKUP(K826,'Base -Receita-Despesa'!$B:$P,1,FALSE)</f>
        <v>Materiais</v>
      </c>
    </row>
    <row r="827" spans="1:12" ht="15" customHeight="1" x14ac:dyDescent="0.3">
      <c r="A827" s="82" t="str">
        <f t="shared" si="24"/>
        <v>2016</v>
      </c>
      <c r="B827" s="72" t="s">
        <v>131</v>
      </c>
      <c r="C827" s="73" t="s">
        <v>132</v>
      </c>
      <c r="D827" s="74" t="str">
        <f t="shared" si="25"/>
        <v>abr/2016</v>
      </c>
      <c r="E827" s="53">
        <v>42475</v>
      </c>
      <c r="F827" s="75">
        <v>173813</v>
      </c>
      <c r="G827" s="72"/>
      <c r="H827" s="49" t="s">
        <v>214</v>
      </c>
      <c r="I827" s="49" t="s">
        <v>114</v>
      </c>
      <c r="J827" s="76">
        <v>-65028.79</v>
      </c>
      <c r="K827" s="83" t="str">
        <f>IFERROR(IFERROR(VLOOKUP(I827,'DE-PARA'!B:D,3,0),VLOOKUP(I827,'DE-PARA'!C:D,2,0)),"NÃO ENCONTRADO")</f>
        <v>Serviços</v>
      </c>
      <c r="L827" s="50" t="str">
        <f>VLOOKUP(K827,'Base -Receita-Despesa'!$B:$P,1,FALSE)</f>
        <v>Serviços</v>
      </c>
    </row>
    <row r="828" spans="1:12" ht="15" customHeight="1" x14ac:dyDescent="0.3">
      <c r="A828" s="82" t="str">
        <f t="shared" si="24"/>
        <v>2016</v>
      </c>
      <c r="B828" s="72" t="s">
        <v>131</v>
      </c>
      <c r="C828" s="73" t="s">
        <v>132</v>
      </c>
      <c r="D828" s="74" t="str">
        <f t="shared" si="25"/>
        <v>abr/2016</v>
      </c>
      <c r="E828" s="53">
        <v>42475</v>
      </c>
      <c r="F828" s="75">
        <v>174692</v>
      </c>
      <c r="G828" s="72"/>
      <c r="H828" s="49" t="s">
        <v>172</v>
      </c>
      <c r="I828" s="49" t="s">
        <v>173</v>
      </c>
      <c r="J828" s="76">
        <v>-15311.91</v>
      </c>
      <c r="K828" s="83" t="str">
        <f>IFERROR(IFERROR(VLOOKUP(I828,'DE-PARA'!B:D,3,0),VLOOKUP(I828,'DE-PARA'!C:D,2,0)),"NÃO ENCONTRADO")</f>
        <v>Serviços</v>
      </c>
      <c r="L828" s="50" t="str">
        <f>VLOOKUP(K828,'Base -Receita-Despesa'!$B:$P,1,FALSE)</f>
        <v>Serviços</v>
      </c>
    </row>
    <row r="829" spans="1:12" ht="15" customHeight="1" x14ac:dyDescent="0.3">
      <c r="A829" s="82" t="str">
        <f t="shared" si="24"/>
        <v>2016</v>
      </c>
      <c r="B829" s="72" t="s">
        <v>131</v>
      </c>
      <c r="C829" s="73" t="s">
        <v>132</v>
      </c>
      <c r="D829" s="74" t="str">
        <f t="shared" si="25"/>
        <v>abr/2016</v>
      </c>
      <c r="E829" s="53">
        <v>42475</v>
      </c>
      <c r="F829" s="75">
        <v>175078</v>
      </c>
      <c r="G829" s="72"/>
      <c r="H829" s="49" t="s">
        <v>172</v>
      </c>
      <c r="I829" s="49" t="s">
        <v>173</v>
      </c>
      <c r="J829" s="76">
        <v>-12956.27</v>
      </c>
      <c r="K829" s="83" t="str">
        <f>IFERROR(IFERROR(VLOOKUP(I829,'DE-PARA'!B:D,3,0),VLOOKUP(I829,'DE-PARA'!C:D,2,0)),"NÃO ENCONTRADO")</f>
        <v>Serviços</v>
      </c>
      <c r="L829" s="50" t="str">
        <f>VLOOKUP(K829,'Base -Receita-Despesa'!$B:$P,1,FALSE)</f>
        <v>Serviços</v>
      </c>
    </row>
    <row r="830" spans="1:12" ht="15" customHeight="1" x14ac:dyDescent="0.3">
      <c r="A830" s="82" t="str">
        <f t="shared" si="24"/>
        <v>2016</v>
      </c>
      <c r="B830" s="72" t="s">
        <v>131</v>
      </c>
      <c r="C830" s="73" t="s">
        <v>132</v>
      </c>
      <c r="D830" s="74" t="str">
        <f t="shared" si="25"/>
        <v>abr/2016</v>
      </c>
      <c r="E830" s="53">
        <v>42475</v>
      </c>
      <c r="F830" s="75">
        <v>172462</v>
      </c>
      <c r="G830" s="72"/>
      <c r="H830" s="49" t="s">
        <v>218</v>
      </c>
      <c r="I830" s="49" t="s">
        <v>110</v>
      </c>
      <c r="J830" s="76">
        <v>-4140</v>
      </c>
      <c r="K830" s="83" t="str">
        <f>IFERROR(IFERROR(VLOOKUP(I830,'DE-PARA'!B:D,3,0),VLOOKUP(I830,'DE-PARA'!C:D,2,0)),"NÃO ENCONTRADO")</f>
        <v>Serviços</v>
      </c>
      <c r="L830" s="50" t="str">
        <f>VLOOKUP(K830,'Base -Receita-Despesa'!$B:$P,1,FALSE)</f>
        <v>Serviços</v>
      </c>
    </row>
    <row r="831" spans="1:12" ht="15" customHeight="1" x14ac:dyDescent="0.3">
      <c r="A831" s="82" t="str">
        <f t="shared" si="24"/>
        <v>2016</v>
      </c>
      <c r="B831" s="72" t="s">
        <v>131</v>
      </c>
      <c r="C831" s="73" t="s">
        <v>132</v>
      </c>
      <c r="D831" s="74" t="str">
        <f t="shared" si="25"/>
        <v>abr/2016</v>
      </c>
      <c r="E831" s="53">
        <v>42478</v>
      </c>
      <c r="F831" s="75">
        <v>185886</v>
      </c>
      <c r="G831" s="72"/>
      <c r="H831" s="49" t="s">
        <v>198</v>
      </c>
      <c r="I831" s="49" t="s">
        <v>603</v>
      </c>
      <c r="J831" s="76">
        <v>-35465.9</v>
      </c>
      <c r="K831" s="83" t="str">
        <f>IFERROR(IFERROR(VLOOKUP(I831,'DE-PARA'!B:D,3,0),VLOOKUP(I831,'DE-PARA'!C:D,2,0)),"NÃO ENCONTRADO")</f>
        <v>Serviços</v>
      </c>
      <c r="L831" s="50" t="str">
        <f>VLOOKUP(K831,'Base -Receita-Despesa'!$B:$P,1,FALSE)</f>
        <v>Serviços</v>
      </c>
    </row>
    <row r="832" spans="1:12" ht="15" customHeight="1" x14ac:dyDescent="0.3">
      <c r="A832" s="82" t="str">
        <f t="shared" si="24"/>
        <v>2016</v>
      </c>
      <c r="B832" s="72" t="s">
        <v>131</v>
      </c>
      <c r="C832" s="73" t="s">
        <v>132</v>
      </c>
      <c r="D832" s="74" t="str">
        <f t="shared" si="25"/>
        <v>abr/2016</v>
      </c>
      <c r="E832" s="53">
        <v>42478</v>
      </c>
      <c r="F832" s="75">
        <v>181232</v>
      </c>
      <c r="G832" s="72"/>
      <c r="H832" s="49" t="s">
        <v>790</v>
      </c>
      <c r="I832" s="49" t="s">
        <v>135</v>
      </c>
      <c r="J832" s="76">
        <v>34.049999999999997</v>
      </c>
      <c r="K832" s="83" t="str">
        <f>IFERROR(IFERROR(VLOOKUP(I832,'DE-PARA'!B:D,3,0),VLOOKUP(I832,'DE-PARA'!C:D,2,0)),"NÃO ENCONTRADO")</f>
        <v>Pessoal</v>
      </c>
      <c r="L832" s="50" t="str">
        <f>VLOOKUP(K832,'Base -Receita-Despesa'!$B:$P,1,FALSE)</f>
        <v>Pessoal</v>
      </c>
    </row>
    <row r="833" spans="1:12" ht="15" customHeight="1" x14ac:dyDescent="0.3">
      <c r="A833" s="82" t="str">
        <f t="shared" si="24"/>
        <v>2016</v>
      </c>
      <c r="B833" s="72" t="s">
        <v>131</v>
      </c>
      <c r="C833" s="73" t="s">
        <v>132</v>
      </c>
      <c r="D833" s="74" t="str">
        <f t="shared" si="25"/>
        <v>abr/2016</v>
      </c>
      <c r="E833" s="53">
        <v>42478</v>
      </c>
      <c r="F833" s="75">
        <v>138193</v>
      </c>
      <c r="G833" s="72"/>
      <c r="H833" s="49" t="s">
        <v>209</v>
      </c>
      <c r="I833" s="49" t="s">
        <v>210</v>
      </c>
      <c r="J833" s="76">
        <v>-1750</v>
      </c>
      <c r="K833" s="83" t="str">
        <f>IFERROR(IFERROR(VLOOKUP(I833,'DE-PARA'!B:D,3,0),VLOOKUP(I833,'DE-PARA'!C:D,2,0)),"NÃO ENCONTRADO")</f>
        <v>Investimentos</v>
      </c>
      <c r="L833" s="50" t="str">
        <f>VLOOKUP(K833,'Base -Receita-Despesa'!$B:$P,1,FALSE)</f>
        <v>Investimentos</v>
      </c>
    </row>
    <row r="834" spans="1:12" ht="15" customHeight="1" x14ac:dyDescent="0.3">
      <c r="A834" s="82" t="str">
        <f t="shared" si="24"/>
        <v>2016</v>
      </c>
      <c r="B834" s="72" t="s">
        <v>131</v>
      </c>
      <c r="C834" s="73" t="s">
        <v>132</v>
      </c>
      <c r="D834" s="74" t="str">
        <f t="shared" si="25"/>
        <v>abr/2016</v>
      </c>
      <c r="E834" s="53">
        <v>42478</v>
      </c>
      <c r="F834" s="75">
        <v>135733</v>
      </c>
      <c r="G834" s="72"/>
      <c r="H834" s="49" t="s">
        <v>183</v>
      </c>
      <c r="I834" s="49" t="s">
        <v>159</v>
      </c>
      <c r="J834" s="76">
        <v>-727</v>
      </c>
      <c r="K834" s="83" t="str">
        <f>IFERROR(IFERROR(VLOOKUP(I834,'DE-PARA'!B:D,3,0),VLOOKUP(I834,'DE-PARA'!C:D,2,0)),"NÃO ENCONTRADO")</f>
        <v>Materiais</v>
      </c>
      <c r="L834" s="50" t="str">
        <f>VLOOKUP(K834,'Base -Receita-Despesa'!$B:$P,1,FALSE)</f>
        <v>Materiais</v>
      </c>
    </row>
    <row r="835" spans="1:12" ht="15" customHeight="1" x14ac:dyDescent="0.3">
      <c r="A835" s="82" t="str">
        <f t="shared" si="24"/>
        <v>2016</v>
      </c>
      <c r="B835" s="72" t="s">
        <v>131</v>
      </c>
      <c r="C835" s="73" t="s">
        <v>132</v>
      </c>
      <c r="D835" s="74" t="str">
        <f t="shared" si="25"/>
        <v>abr/2016</v>
      </c>
      <c r="E835" s="53">
        <v>42478</v>
      </c>
      <c r="F835" s="75">
        <v>112271</v>
      </c>
      <c r="G835" s="72"/>
      <c r="H835" s="49" t="s">
        <v>188</v>
      </c>
      <c r="I835" s="49" t="s">
        <v>189</v>
      </c>
      <c r="J835" s="76">
        <v>-200</v>
      </c>
      <c r="K835" s="83" t="str">
        <f>IFERROR(IFERROR(VLOOKUP(I835,'DE-PARA'!B:D,3,0),VLOOKUP(I835,'DE-PARA'!C:D,2,0)),"NÃO ENCONTRADO")</f>
        <v>Materiais</v>
      </c>
      <c r="L835" s="50" t="str">
        <f>VLOOKUP(K835,'Base -Receita-Despesa'!$B:$P,1,FALSE)</f>
        <v>Materiais</v>
      </c>
    </row>
    <row r="836" spans="1:12" ht="15" customHeight="1" x14ac:dyDescent="0.3">
      <c r="A836" s="82" t="str">
        <f t="shared" ref="A836:A899" si="26">IF(K836="NÃO ENCONTRADO",0,RIGHT(D836,4))</f>
        <v>2016</v>
      </c>
      <c r="B836" s="72" t="s">
        <v>131</v>
      </c>
      <c r="C836" s="73" t="s">
        <v>132</v>
      </c>
      <c r="D836" s="74" t="str">
        <f t="shared" ref="D836:D899" si="27">TEXT(E836,"mmm/aaaa")</f>
        <v>abr/2016</v>
      </c>
      <c r="E836" s="53">
        <v>42479</v>
      </c>
      <c r="F836" s="75">
        <v>168669</v>
      </c>
      <c r="G836" s="72"/>
      <c r="H836" s="49" t="s">
        <v>780</v>
      </c>
      <c r="I836" s="49" t="s">
        <v>129</v>
      </c>
      <c r="J836" s="76">
        <v>7.75</v>
      </c>
      <c r="K836" s="83" t="str">
        <f>IFERROR(IFERROR(VLOOKUP(I836,'DE-PARA'!B:D,3,0),VLOOKUP(I836,'DE-PARA'!C:D,2,0)),"NÃO ENCONTRADO")</f>
        <v>Outras Saídas</v>
      </c>
      <c r="L836" s="50" t="str">
        <f>VLOOKUP(K836,'Base -Receita-Despesa'!$B:$P,1,FALSE)</f>
        <v>Outras Saídas</v>
      </c>
    </row>
    <row r="837" spans="1:12" ht="15" customHeight="1" x14ac:dyDescent="0.3">
      <c r="A837" s="82" t="str">
        <f t="shared" si="26"/>
        <v>2016</v>
      </c>
      <c r="B837" s="72" t="s">
        <v>131</v>
      </c>
      <c r="C837" s="73" t="s">
        <v>132</v>
      </c>
      <c r="D837" s="74" t="str">
        <f t="shared" si="27"/>
        <v>abr/2016</v>
      </c>
      <c r="E837" s="53">
        <v>42479</v>
      </c>
      <c r="F837" s="75">
        <v>144159</v>
      </c>
      <c r="G837" s="72"/>
      <c r="H837" s="49" t="s">
        <v>427</v>
      </c>
      <c r="I837" s="49" t="s">
        <v>428</v>
      </c>
      <c r="J837" s="76">
        <v>-880</v>
      </c>
      <c r="K837" s="83" t="str">
        <f>IFERROR(IFERROR(VLOOKUP(I837,'DE-PARA'!B:D,3,0),VLOOKUP(I837,'DE-PARA'!C:D,2,0)),"NÃO ENCONTRADO")</f>
        <v>Aluguéis</v>
      </c>
      <c r="L837" s="50" t="str">
        <f>VLOOKUP(K837,'Base -Receita-Despesa'!$B:$P,1,FALSE)</f>
        <v>Aluguéis</v>
      </c>
    </row>
    <row r="838" spans="1:12" ht="15" customHeight="1" x14ac:dyDescent="0.3">
      <c r="A838" s="82" t="str">
        <f t="shared" si="26"/>
        <v>2016</v>
      </c>
      <c r="B838" s="72" t="s">
        <v>131</v>
      </c>
      <c r="C838" s="73" t="s">
        <v>132</v>
      </c>
      <c r="D838" s="74" t="str">
        <f t="shared" si="27"/>
        <v>abr/2016</v>
      </c>
      <c r="E838" s="53">
        <v>42479</v>
      </c>
      <c r="F838" s="75">
        <v>828678</v>
      </c>
      <c r="G838" s="72"/>
      <c r="H838" s="49" t="s">
        <v>791</v>
      </c>
      <c r="I838" s="49" t="s">
        <v>113</v>
      </c>
      <c r="J838" s="76">
        <v>-10945</v>
      </c>
      <c r="K838" s="83" t="str">
        <f>IFERROR(IFERROR(VLOOKUP(I838,'DE-PARA'!B:D,3,0),VLOOKUP(I838,'DE-PARA'!C:D,2,0)),"NÃO ENCONTRADO")</f>
        <v>Serviços</v>
      </c>
      <c r="L838" s="50" t="str">
        <f>VLOOKUP(K838,'Base -Receita-Despesa'!$B:$P,1,FALSE)</f>
        <v>Serviços</v>
      </c>
    </row>
    <row r="839" spans="1:12" ht="15" customHeight="1" x14ac:dyDescent="0.3">
      <c r="A839" s="82" t="str">
        <f t="shared" si="26"/>
        <v>2016</v>
      </c>
      <c r="B839" s="72" t="s">
        <v>131</v>
      </c>
      <c r="C839" s="73" t="s">
        <v>132</v>
      </c>
      <c r="D839" s="74" t="str">
        <f t="shared" si="27"/>
        <v>abr/2016</v>
      </c>
      <c r="E839" s="53">
        <v>42479</v>
      </c>
      <c r="F839" s="75">
        <v>828747</v>
      </c>
      <c r="G839" s="72"/>
      <c r="H839" s="49" t="s">
        <v>792</v>
      </c>
      <c r="I839" s="49" t="s">
        <v>171</v>
      </c>
      <c r="J839" s="76">
        <v>-343.46</v>
      </c>
      <c r="K839" s="83" t="str">
        <f>IFERROR(IFERROR(VLOOKUP(I839,'DE-PARA'!B:D,3,0),VLOOKUP(I839,'DE-PARA'!C:D,2,0)),"NÃO ENCONTRADO")</f>
        <v>Serviços</v>
      </c>
      <c r="L839" s="50" t="str">
        <f>VLOOKUP(K839,'Base -Receita-Despesa'!$B:$P,1,FALSE)</f>
        <v>Serviços</v>
      </c>
    </row>
    <row r="840" spans="1:12" ht="15" customHeight="1" x14ac:dyDescent="0.3">
      <c r="A840" s="82" t="str">
        <f t="shared" si="26"/>
        <v>2016</v>
      </c>
      <c r="B840" s="72" t="s">
        <v>131</v>
      </c>
      <c r="C840" s="73" t="s">
        <v>132</v>
      </c>
      <c r="D840" s="74" t="str">
        <f t="shared" si="27"/>
        <v>abr/2016</v>
      </c>
      <c r="E840" s="53">
        <v>42479</v>
      </c>
      <c r="F840" s="75">
        <v>828920</v>
      </c>
      <c r="G840" s="72"/>
      <c r="H840" s="49" t="s">
        <v>280</v>
      </c>
      <c r="I840" s="49" t="s">
        <v>186</v>
      </c>
      <c r="J840" s="76">
        <v>-130254.85</v>
      </c>
      <c r="K840" s="83" t="str">
        <f>IFERROR(IFERROR(VLOOKUP(I840,'DE-PARA'!B:D,3,0),VLOOKUP(I840,'DE-PARA'!C:D,2,0)),"NÃO ENCONTRADO")</f>
        <v>Encargos sobre Folha de Pagamento</v>
      </c>
      <c r="L840" s="50" t="str">
        <f>VLOOKUP(K840,'Base -Receita-Despesa'!$B:$P,1,FALSE)</f>
        <v>Encargos sobre Folha de Pagamento</v>
      </c>
    </row>
    <row r="841" spans="1:12" ht="15" customHeight="1" x14ac:dyDescent="0.3">
      <c r="A841" s="82" t="str">
        <f t="shared" si="26"/>
        <v>2016</v>
      </c>
      <c r="B841" s="72" t="s">
        <v>131</v>
      </c>
      <c r="C841" s="73" t="s">
        <v>132</v>
      </c>
      <c r="D841" s="74" t="str">
        <f t="shared" si="27"/>
        <v>abr/2016</v>
      </c>
      <c r="E841" s="53">
        <v>42479</v>
      </c>
      <c r="F841" s="75">
        <v>828825</v>
      </c>
      <c r="G841" s="72"/>
      <c r="H841" s="49" t="s">
        <v>793</v>
      </c>
      <c r="I841" s="49" t="s">
        <v>173</v>
      </c>
      <c r="J841" s="76">
        <v>-2123</v>
      </c>
      <c r="K841" s="83" t="str">
        <f>IFERROR(IFERROR(VLOOKUP(I841,'DE-PARA'!B:D,3,0),VLOOKUP(I841,'DE-PARA'!C:D,2,0)),"NÃO ENCONTRADO")</f>
        <v>Serviços</v>
      </c>
      <c r="L841" s="50" t="str">
        <f>VLOOKUP(K841,'Base -Receita-Despesa'!$B:$P,1,FALSE)</f>
        <v>Serviços</v>
      </c>
    </row>
    <row r="842" spans="1:12" ht="15" customHeight="1" x14ac:dyDescent="0.3">
      <c r="A842" s="82" t="str">
        <f t="shared" si="26"/>
        <v>2016</v>
      </c>
      <c r="B842" s="72" t="s">
        <v>131</v>
      </c>
      <c r="C842" s="73" t="s">
        <v>132</v>
      </c>
      <c r="D842" s="74" t="str">
        <f t="shared" si="27"/>
        <v>abr/2016</v>
      </c>
      <c r="E842" s="53">
        <v>42479</v>
      </c>
      <c r="F842" s="75">
        <v>426858</v>
      </c>
      <c r="G842" s="72"/>
      <c r="H842" s="49" t="s">
        <v>794</v>
      </c>
      <c r="I842" s="49" t="s">
        <v>138</v>
      </c>
      <c r="J842" s="76">
        <v>-75.349999999999994</v>
      </c>
      <c r="K842" s="83" t="str">
        <f>IFERROR(IFERROR(VLOOKUP(I842,'DE-PARA'!B:D,3,0),VLOOKUP(I842,'DE-PARA'!C:D,2,0)),"NÃO ENCONTRADO")</f>
        <v>Serviços</v>
      </c>
      <c r="L842" s="50" t="str">
        <f>VLOOKUP(K842,'Base -Receita-Despesa'!$B:$P,1,FALSE)</f>
        <v>Serviços</v>
      </c>
    </row>
    <row r="843" spans="1:12" ht="15" customHeight="1" x14ac:dyDescent="0.3">
      <c r="A843" s="82" t="str">
        <f t="shared" si="26"/>
        <v>2016</v>
      </c>
      <c r="B843" s="72" t="s">
        <v>131</v>
      </c>
      <c r="C843" s="73" t="s">
        <v>132</v>
      </c>
      <c r="D843" s="74" t="str">
        <f t="shared" si="27"/>
        <v>abr/2016</v>
      </c>
      <c r="E843" s="53">
        <v>42479</v>
      </c>
      <c r="F843" s="75">
        <v>427658</v>
      </c>
      <c r="G843" s="72"/>
      <c r="H843" s="49" t="s">
        <v>795</v>
      </c>
      <c r="I843" s="49" t="s">
        <v>113</v>
      </c>
      <c r="J843" s="76">
        <v>-995</v>
      </c>
      <c r="K843" s="83" t="str">
        <f>IFERROR(IFERROR(VLOOKUP(I843,'DE-PARA'!B:D,3,0),VLOOKUP(I843,'DE-PARA'!C:D,2,0)),"NÃO ENCONTRADO")</f>
        <v>Serviços</v>
      </c>
      <c r="L843" s="50" t="str">
        <f>VLOOKUP(K843,'Base -Receita-Despesa'!$B:$P,1,FALSE)</f>
        <v>Serviços</v>
      </c>
    </row>
    <row r="844" spans="1:12" ht="15" customHeight="1" x14ac:dyDescent="0.3">
      <c r="A844" s="82" t="str">
        <f t="shared" si="26"/>
        <v>2016</v>
      </c>
      <c r="B844" s="72" t="s">
        <v>131</v>
      </c>
      <c r="C844" s="73" t="s">
        <v>132</v>
      </c>
      <c r="D844" s="74" t="str">
        <f t="shared" si="27"/>
        <v>abr/2016</v>
      </c>
      <c r="E844" s="53">
        <v>42479</v>
      </c>
      <c r="F844" s="75">
        <v>428329</v>
      </c>
      <c r="G844" s="72"/>
      <c r="H844" s="49" t="s">
        <v>796</v>
      </c>
      <c r="I844" s="49" t="s">
        <v>110</v>
      </c>
      <c r="J844" s="76">
        <v>-36</v>
      </c>
      <c r="K844" s="83" t="str">
        <f>IFERROR(IFERROR(VLOOKUP(I844,'DE-PARA'!B:D,3,0),VLOOKUP(I844,'DE-PARA'!C:D,2,0)),"NÃO ENCONTRADO")</f>
        <v>Serviços</v>
      </c>
      <c r="L844" s="50" t="str">
        <f>VLOOKUP(K844,'Base -Receita-Despesa'!$B:$P,1,FALSE)</f>
        <v>Serviços</v>
      </c>
    </row>
    <row r="845" spans="1:12" ht="15" customHeight="1" x14ac:dyDescent="0.3">
      <c r="A845" s="82" t="str">
        <f t="shared" si="26"/>
        <v>2016</v>
      </c>
      <c r="B845" s="72" t="s">
        <v>131</v>
      </c>
      <c r="C845" s="73" t="s">
        <v>132</v>
      </c>
      <c r="D845" s="74" t="str">
        <f t="shared" si="27"/>
        <v>abr/2016</v>
      </c>
      <c r="E845" s="53">
        <v>42479</v>
      </c>
      <c r="F845" s="75">
        <v>429000</v>
      </c>
      <c r="G845" s="72"/>
      <c r="H845" s="49" t="s">
        <v>797</v>
      </c>
      <c r="I845" s="49" t="s">
        <v>173</v>
      </c>
      <c r="J845" s="76">
        <v>-193</v>
      </c>
      <c r="K845" s="83" t="str">
        <f>IFERROR(IFERROR(VLOOKUP(I845,'DE-PARA'!B:D,3,0),VLOOKUP(I845,'DE-PARA'!C:D,2,0)),"NÃO ENCONTRADO")</f>
        <v>Serviços</v>
      </c>
      <c r="L845" s="50" t="str">
        <f>VLOOKUP(K845,'Base -Receita-Despesa'!$B:$P,1,FALSE)</f>
        <v>Serviços</v>
      </c>
    </row>
    <row r="846" spans="1:12" ht="15" customHeight="1" x14ac:dyDescent="0.3">
      <c r="A846" s="82" t="str">
        <f t="shared" si="26"/>
        <v>2016</v>
      </c>
      <c r="B846" s="72" t="s">
        <v>131</v>
      </c>
      <c r="C846" s="73" t="s">
        <v>132</v>
      </c>
      <c r="D846" s="74" t="str">
        <f t="shared" si="27"/>
        <v>abr/2016</v>
      </c>
      <c r="E846" s="53">
        <v>42479</v>
      </c>
      <c r="F846" s="75">
        <v>429603</v>
      </c>
      <c r="G846" s="72"/>
      <c r="H846" s="49" t="s">
        <v>798</v>
      </c>
      <c r="I846" s="49" t="s">
        <v>173</v>
      </c>
      <c r="J846" s="76">
        <v>-141.86000000000001</v>
      </c>
      <c r="K846" s="83" t="str">
        <f>IFERROR(IFERROR(VLOOKUP(I846,'DE-PARA'!B:D,3,0),VLOOKUP(I846,'DE-PARA'!C:D,2,0)),"NÃO ENCONTRADO")</f>
        <v>Serviços</v>
      </c>
      <c r="L846" s="50" t="str">
        <f>VLOOKUP(K846,'Base -Receita-Despesa'!$B:$P,1,FALSE)</f>
        <v>Serviços</v>
      </c>
    </row>
    <row r="847" spans="1:12" ht="15" customHeight="1" x14ac:dyDescent="0.3">
      <c r="A847" s="82" t="str">
        <f t="shared" si="26"/>
        <v>2016</v>
      </c>
      <c r="B847" s="72" t="s">
        <v>131</v>
      </c>
      <c r="C847" s="73" t="s">
        <v>132</v>
      </c>
      <c r="D847" s="74" t="str">
        <f t="shared" si="27"/>
        <v>abr/2016</v>
      </c>
      <c r="E847" s="53">
        <v>42479</v>
      </c>
      <c r="F847" s="75">
        <v>420235</v>
      </c>
      <c r="G847" s="72"/>
      <c r="H847" s="49" t="s">
        <v>799</v>
      </c>
      <c r="I847" s="49" t="s">
        <v>171</v>
      </c>
      <c r="J847" s="76">
        <v>-312.23</v>
      </c>
      <c r="K847" s="83" t="str">
        <f>IFERROR(IFERROR(VLOOKUP(I847,'DE-PARA'!B:D,3,0),VLOOKUP(I847,'DE-PARA'!C:D,2,0)),"NÃO ENCONTRADO")</f>
        <v>Serviços</v>
      </c>
      <c r="L847" s="50" t="str">
        <f>VLOOKUP(K847,'Base -Receita-Despesa'!$B:$P,1,FALSE)</f>
        <v>Serviços</v>
      </c>
    </row>
    <row r="848" spans="1:12" ht="15" customHeight="1" x14ac:dyDescent="0.3">
      <c r="A848" s="82" t="str">
        <f t="shared" si="26"/>
        <v>2016</v>
      </c>
      <c r="B848" s="72" t="s">
        <v>131</v>
      </c>
      <c r="C848" s="73" t="s">
        <v>132</v>
      </c>
      <c r="D848" s="74" t="str">
        <f t="shared" si="27"/>
        <v>abr/2016</v>
      </c>
      <c r="E848" s="53">
        <v>42479</v>
      </c>
      <c r="F848" s="75">
        <v>429352</v>
      </c>
      <c r="G848" s="72"/>
      <c r="H848" s="49" t="s">
        <v>800</v>
      </c>
      <c r="I848" s="49" t="s">
        <v>171</v>
      </c>
      <c r="J848" s="76">
        <v>-312.23</v>
      </c>
      <c r="K848" s="83" t="str">
        <f>IFERROR(IFERROR(VLOOKUP(I848,'DE-PARA'!B:D,3,0),VLOOKUP(I848,'DE-PARA'!C:D,2,0)),"NÃO ENCONTRADO")</f>
        <v>Serviços</v>
      </c>
      <c r="L848" s="50" t="str">
        <f>VLOOKUP(K848,'Base -Receita-Despesa'!$B:$P,1,FALSE)</f>
        <v>Serviços</v>
      </c>
    </row>
    <row r="849" spans="1:12" ht="15" customHeight="1" x14ac:dyDescent="0.3">
      <c r="A849" s="82" t="str">
        <f t="shared" si="26"/>
        <v>2016</v>
      </c>
      <c r="B849" s="72" t="s">
        <v>131</v>
      </c>
      <c r="C849" s="73" t="s">
        <v>132</v>
      </c>
      <c r="D849" s="74" t="str">
        <f t="shared" si="27"/>
        <v>abr/2016</v>
      </c>
      <c r="E849" s="53">
        <v>42479</v>
      </c>
      <c r="F849" s="75">
        <v>428549</v>
      </c>
      <c r="G849" s="72"/>
      <c r="H849" s="49" t="s">
        <v>801</v>
      </c>
      <c r="I849" s="49" t="s">
        <v>110</v>
      </c>
      <c r="J849" s="76">
        <v>-13.8</v>
      </c>
      <c r="K849" s="83" t="str">
        <f>IFERROR(IFERROR(VLOOKUP(I849,'DE-PARA'!B:D,3,0),VLOOKUP(I849,'DE-PARA'!C:D,2,0)),"NÃO ENCONTRADO")</f>
        <v>Serviços</v>
      </c>
      <c r="L849" s="50" t="str">
        <f>VLOOKUP(K849,'Base -Receita-Despesa'!$B:$P,1,FALSE)</f>
        <v>Serviços</v>
      </c>
    </row>
    <row r="850" spans="1:12" ht="15" customHeight="1" x14ac:dyDescent="0.3">
      <c r="A850" s="82" t="str">
        <f t="shared" si="26"/>
        <v>2016</v>
      </c>
      <c r="B850" s="72" t="s">
        <v>131</v>
      </c>
      <c r="C850" s="73" t="s">
        <v>132</v>
      </c>
      <c r="D850" s="74" t="str">
        <f t="shared" si="27"/>
        <v>abr/2016</v>
      </c>
      <c r="E850" s="53">
        <v>42479</v>
      </c>
      <c r="F850" s="75">
        <v>420967</v>
      </c>
      <c r="G850" s="72"/>
      <c r="H850" s="49" t="s">
        <v>802</v>
      </c>
      <c r="I850" s="49" t="s">
        <v>191</v>
      </c>
      <c r="J850" s="76">
        <v>-51</v>
      </c>
      <c r="K850" s="83" t="str">
        <f>IFERROR(IFERROR(VLOOKUP(I850,'DE-PARA'!B:D,3,0),VLOOKUP(I850,'DE-PARA'!C:D,2,0)),"NÃO ENCONTRADO")</f>
        <v>Serviços</v>
      </c>
      <c r="L850" s="50" t="str">
        <f>VLOOKUP(K850,'Base -Receita-Despesa'!$B:$P,1,FALSE)</f>
        <v>Serviços</v>
      </c>
    </row>
    <row r="851" spans="1:12" ht="15" customHeight="1" x14ac:dyDescent="0.3">
      <c r="A851" s="82" t="str">
        <f t="shared" si="26"/>
        <v>2016</v>
      </c>
      <c r="B851" s="72" t="s">
        <v>131</v>
      </c>
      <c r="C851" s="73" t="s">
        <v>132</v>
      </c>
      <c r="D851" s="74" t="str">
        <f t="shared" si="27"/>
        <v>abr/2016</v>
      </c>
      <c r="E851" s="53">
        <v>42479</v>
      </c>
      <c r="F851" s="75">
        <v>420221</v>
      </c>
      <c r="G851" s="72"/>
      <c r="H851" s="49" t="s">
        <v>285</v>
      </c>
      <c r="I851" s="49" t="s">
        <v>185</v>
      </c>
      <c r="J851" s="76">
        <v>-37191.910000000003</v>
      </c>
      <c r="K851" s="83" t="str">
        <f>IFERROR(IFERROR(VLOOKUP(I851,'DE-PARA'!B:D,3,0),VLOOKUP(I851,'DE-PARA'!C:D,2,0)),"NÃO ENCONTRADO")</f>
        <v>Encargos sobre Folha de Pagamento</v>
      </c>
      <c r="L851" s="50" t="str">
        <f>VLOOKUP(K851,'Base -Receita-Despesa'!$B:$P,1,FALSE)</f>
        <v>Encargos sobre Folha de Pagamento</v>
      </c>
    </row>
    <row r="852" spans="1:12" ht="15" customHeight="1" x14ac:dyDescent="0.3">
      <c r="A852" s="82" t="str">
        <f t="shared" si="26"/>
        <v>2016</v>
      </c>
      <c r="B852" s="72" t="s">
        <v>131</v>
      </c>
      <c r="C852" s="73" t="s">
        <v>132</v>
      </c>
      <c r="D852" s="74" t="str">
        <f t="shared" si="27"/>
        <v>abr/2016</v>
      </c>
      <c r="E852" s="53">
        <v>42479</v>
      </c>
      <c r="F852" s="75">
        <v>123094</v>
      </c>
      <c r="G852" s="72"/>
      <c r="H852" s="49" t="s">
        <v>803</v>
      </c>
      <c r="I852" s="49" t="s">
        <v>112</v>
      </c>
      <c r="J852" s="76">
        <v>-1800</v>
      </c>
      <c r="K852" s="83" t="str">
        <f>IFERROR(IFERROR(VLOOKUP(I852,'DE-PARA'!B:D,3,0),VLOOKUP(I852,'DE-PARA'!C:D,2,0)),"NÃO ENCONTRADO")</f>
        <v>Serviços</v>
      </c>
      <c r="L852" s="50" t="str">
        <f>VLOOKUP(K852,'Base -Receita-Despesa'!$B:$P,1,FALSE)</f>
        <v>Serviços</v>
      </c>
    </row>
    <row r="853" spans="1:12" ht="15" customHeight="1" x14ac:dyDescent="0.3">
      <c r="A853" s="82" t="str">
        <f t="shared" si="26"/>
        <v>2016</v>
      </c>
      <c r="B853" s="72" t="s">
        <v>131</v>
      </c>
      <c r="C853" s="73" t="s">
        <v>132</v>
      </c>
      <c r="D853" s="74" t="str">
        <f t="shared" si="27"/>
        <v>abr/2016</v>
      </c>
      <c r="E853" s="53">
        <v>42479</v>
      </c>
      <c r="F853" s="75">
        <v>851062</v>
      </c>
      <c r="G853" s="72"/>
      <c r="H853" s="49" t="s">
        <v>804</v>
      </c>
      <c r="I853" s="49" t="s">
        <v>144</v>
      </c>
      <c r="J853" s="76">
        <v>-2485.6</v>
      </c>
      <c r="K853" s="83" t="str">
        <f>IFERROR(IFERROR(VLOOKUP(I853,'DE-PARA'!B:D,3,0),VLOOKUP(I853,'DE-PARA'!C:D,2,0)),"NÃO ENCONTRADO")</f>
        <v>Concessionárias (água, luz e telefone)</v>
      </c>
      <c r="L853" s="50" t="str">
        <f>VLOOKUP(K853,'Base -Receita-Despesa'!$B:$P,1,FALSE)</f>
        <v>Concessionárias (água, luz e telefone)</v>
      </c>
    </row>
    <row r="854" spans="1:12" ht="15" customHeight="1" x14ac:dyDescent="0.3">
      <c r="A854" s="82" t="str">
        <f t="shared" si="26"/>
        <v>2016</v>
      </c>
      <c r="B854" s="72" t="s">
        <v>131</v>
      </c>
      <c r="C854" s="73" t="s">
        <v>132</v>
      </c>
      <c r="D854" s="74" t="str">
        <f t="shared" si="27"/>
        <v>abr/2016</v>
      </c>
      <c r="E854" s="53">
        <v>42479</v>
      </c>
      <c r="F854" s="75">
        <v>850635</v>
      </c>
      <c r="G854" s="72"/>
      <c r="H854" s="49" t="s">
        <v>804</v>
      </c>
      <c r="I854" s="49" t="s">
        <v>144</v>
      </c>
      <c r="J854" s="76">
        <v>-1667.35</v>
      </c>
      <c r="K854" s="83" t="str">
        <f>IFERROR(IFERROR(VLOOKUP(I854,'DE-PARA'!B:D,3,0),VLOOKUP(I854,'DE-PARA'!C:D,2,0)),"NÃO ENCONTRADO")</f>
        <v>Concessionárias (água, luz e telefone)</v>
      </c>
      <c r="L854" s="50" t="str">
        <f>VLOOKUP(K854,'Base -Receita-Despesa'!$B:$P,1,FALSE)</f>
        <v>Concessionárias (água, luz e telefone)</v>
      </c>
    </row>
    <row r="855" spans="1:12" ht="15" customHeight="1" x14ac:dyDescent="0.3">
      <c r="A855" s="82" t="str">
        <f t="shared" si="26"/>
        <v>2016</v>
      </c>
      <c r="B855" s="72" t="s">
        <v>131</v>
      </c>
      <c r="C855" s="73" t="s">
        <v>132</v>
      </c>
      <c r="D855" s="74" t="str">
        <f t="shared" si="27"/>
        <v>abr/2016</v>
      </c>
      <c r="E855" s="53">
        <v>42479</v>
      </c>
      <c r="F855" s="75">
        <v>421595</v>
      </c>
      <c r="G855" s="72"/>
      <c r="H855" s="49" t="s">
        <v>805</v>
      </c>
      <c r="I855" s="49" t="s">
        <v>110</v>
      </c>
      <c r="J855" s="76">
        <v>-1855.35</v>
      </c>
      <c r="K855" s="83" t="str">
        <f>IFERROR(IFERROR(VLOOKUP(I855,'DE-PARA'!B:D,3,0),VLOOKUP(I855,'DE-PARA'!C:D,2,0)),"NÃO ENCONTRADO")</f>
        <v>Serviços</v>
      </c>
      <c r="L855" s="50" t="str">
        <f>VLOOKUP(K855,'Base -Receita-Despesa'!$B:$P,1,FALSE)</f>
        <v>Serviços</v>
      </c>
    </row>
    <row r="856" spans="1:12" ht="15" customHeight="1" x14ac:dyDescent="0.3">
      <c r="A856" s="82" t="str">
        <f t="shared" si="26"/>
        <v>2016</v>
      </c>
      <c r="B856" s="72" t="s">
        <v>131</v>
      </c>
      <c r="C856" s="73" t="s">
        <v>132</v>
      </c>
      <c r="D856" s="74" t="str">
        <f t="shared" si="27"/>
        <v>abr/2016</v>
      </c>
      <c r="E856" s="53">
        <v>42479</v>
      </c>
      <c r="F856" s="75">
        <v>422170</v>
      </c>
      <c r="G856" s="72"/>
      <c r="H856" s="49" t="s">
        <v>806</v>
      </c>
      <c r="I856" s="49" t="s">
        <v>110</v>
      </c>
      <c r="J856" s="76">
        <v>-122.76</v>
      </c>
      <c r="K856" s="83" t="str">
        <f>IFERROR(IFERROR(VLOOKUP(I856,'DE-PARA'!B:D,3,0),VLOOKUP(I856,'DE-PARA'!C:D,2,0)),"NÃO ENCONTRADO")</f>
        <v>Serviços</v>
      </c>
      <c r="L856" s="50" t="str">
        <f>VLOOKUP(K856,'Base -Receita-Despesa'!$B:$P,1,FALSE)</f>
        <v>Serviços</v>
      </c>
    </row>
    <row r="857" spans="1:12" ht="15" customHeight="1" x14ac:dyDescent="0.3">
      <c r="A857" s="82" t="str">
        <f t="shared" si="26"/>
        <v>2016</v>
      </c>
      <c r="B857" s="72" t="s">
        <v>131</v>
      </c>
      <c r="C857" s="73" t="s">
        <v>132</v>
      </c>
      <c r="D857" s="74" t="str">
        <f t="shared" si="27"/>
        <v>abr/2016</v>
      </c>
      <c r="E857" s="53">
        <v>42479</v>
      </c>
      <c r="F857" s="75">
        <v>424020</v>
      </c>
      <c r="G857" s="72"/>
      <c r="H857" s="49" t="s">
        <v>807</v>
      </c>
      <c r="I857" s="49" t="s">
        <v>173</v>
      </c>
      <c r="J857" s="76">
        <v>-897.45</v>
      </c>
      <c r="K857" s="83" t="str">
        <f>IFERROR(IFERROR(VLOOKUP(I857,'DE-PARA'!B:D,3,0),VLOOKUP(I857,'DE-PARA'!C:D,2,0)),"NÃO ENCONTRADO")</f>
        <v>Serviços</v>
      </c>
      <c r="L857" s="50" t="str">
        <f>VLOOKUP(K857,'Base -Receita-Despesa'!$B:$P,1,FALSE)</f>
        <v>Serviços</v>
      </c>
    </row>
    <row r="858" spans="1:12" ht="15" customHeight="1" x14ac:dyDescent="0.3">
      <c r="A858" s="82" t="str">
        <f t="shared" si="26"/>
        <v>2016</v>
      </c>
      <c r="B858" s="72" t="s">
        <v>131</v>
      </c>
      <c r="C858" s="73" t="s">
        <v>132</v>
      </c>
      <c r="D858" s="74" t="str">
        <f t="shared" si="27"/>
        <v>abr/2016</v>
      </c>
      <c r="E858" s="53">
        <v>42479</v>
      </c>
      <c r="F858" s="75">
        <v>422806</v>
      </c>
      <c r="G858" s="72"/>
      <c r="H858" s="49" t="s">
        <v>808</v>
      </c>
      <c r="I858" s="49" t="s">
        <v>138</v>
      </c>
      <c r="J858" s="76">
        <v>-19.329999999999998</v>
      </c>
      <c r="K858" s="83" t="str">
        <f>IFERROR(IFERROR(VLOOKUP(I858,'DE-PARA'!B:D,3,0),VLOOKUP(I858,'DE-PARA'!C:D,2,0)),"NÃO ENCONTRADO")</f>
        <v>Serviços</v>
      </c>
      <c r="L858" s="50" t="str">
        <f>VLOOKUP(K858,'Base -Receita-Despesa'!$B:$P,1,FALSE)</f>
        <v>Serviços</v>
      </c>
    </row>
    <row r="859" spans="1:12" ht="15" customHeight="1" x14ac:dyDescent="0.3">
      <c r="A859" s="82" t="str">
        <f t="shared" si="26"/>
        <v>2016</v>
      </c>
      <c r="B859" s="72" t="s">
        <v>131</v>
      </c>
      <c r="C859" s="73" t="s">
        <v>132</v>
      </c>
      <c r="D859" s="74" t="str">
        <f t="shared" si="27"/>
        <v>abr/2016</v>
      </c>
      <c r="E859" s="53">
        <v>42479</v>
      </c>
      <c r="F859" s="75">
        <v>423434</v>
      </c>
      <c r="G859" s="72"/>
      <c r="H859" s="49" t="s">
        <v>809</v>
      </c>
      <c r="I859" s="49" t="s">
        <v>173</v>
      </c>
      <c r="J859" s="76">
        <v>-659.65</v>
      </c>
      <c r="K859" s="83" t="str">
        <f>IFERROR(IFERROR(VLOOKUP(I859,'DE-PARA'!B:D,3,0),VLOOKUP(I859,'DE-PARA'!C:D,2,0)),"NÃO ENCONTRADO")</f>
        <v>Serviços</v>
      </c>
      <c r="L859" s="50" t="str">
        <f>VLOOKUP(K859,'Base -Receita-Despesa'!$B:$P,1,FALSE)</f>
        <v>Serviços</v>
      </c>
    </row>
    <row r="860" spans="1:12" ht="15" customHeight="1" x14ac:dyDescent="0.3">
      <c r="A860" s="82" t="str">
        <f t="shared" si="26"/>
        <v>2016</v>
      </c>
      <c r="B860" s="72" t="s">
        <v>131</v>
      </c>
      <c r="C860" s="73" t="s">
        <v>132</v>
      </c>
      <c r="D860" s="74" t="str">
        <f t="shared" si="27"/>
        <v>abr/2016</v>
      </c>
      <c r="E860" s="53">
        <v>42479</v>
      </c>
      <c r="F860" s="75">
        <v>424564</v>
      </c>
      <c r="G860" s="72"/>
      <c r="H860" s="49" t="s">
        <v>810</v>
      </c>
      <c r="I860" s="49" t="s">
        <v>171</v>
      </c>
      <c r="J860" s="76">
        <v>-967.93</v>
      </c>
      <c r="K860" s="83" t="str">
        <f>IFERROR(IFERROR(VLOOKUP(I860,'DE-PARA'!B:D,3,0),VLOOKUP(I860,'DE-PARA'!C:D,2,0)),"NÃO ENCONTRADO")</f>
        <v>Serviços</v>
      </c>
      <c r="L860" s="50" t="str">
        <f>VLOOKUP(K860,'Base -Receita-Despesa'!$B:$P,1,FALSE)</f>
        <v>Serviços</v>
      </c>
    </row>
    <row r="861" spans="1:12" ht="15" customHeight="1" x14ac:dyDescent="0.3">
      <c r="A861" s="82" t="str">
        <f t="shared" si="26"/>
        <v>2016</v>
      </c>
      <c r="B861" s="72" t="s">
        <v>131</v>
      </c>
      <c r="C861" s="73" t="s">
        <v>132</v>
      </c>
      <c r="D861" s="74" t="str">
        <f t="shared" si="27"/>
        <v>abr/2016</v>
      </c>
      <c r="E861" s="53">
        <v>42479</v>
      </c>
      <c r="F861" s="75">
        <v>425083</v>
      </c>
      <c r="G861" s="72"/>
      <c r="H861" s="49" t="s">
        <v>811</v>
      </c>
      <c r="I861" s="49" t="s">
        <v>191</v>
      </c>
      <c r="J861" s="76">
        <v>-138.1</v>
      </c>
      <c r="K861" s="83" t="str">
        <f>IFERROR(IFERROR(VLOOKUP(I861,'DE-PARA'!B:D,3,0),VLOOKUP(I861,'DE-PARA'!C:D,2,0)),"NÃO ENCONTRADO")</f>
        <v>Serviços</v>
      </c>
      <c r="L861" s="50" t="str">
        <f>VLOOKUP(K861,'Base -Receita-Despesa'!$B:$P,1,FALSE)</f>
        <v>Serviços</v>
      </c>
    </row>
    <row r="862" spans="1:12" ht="15" customHeight="1" x14ac:dyDescent="0.3">
      <c r="A862" s="82" t="str">
        <f t="shared" si="26"/>
        <v>2016</v>
      </c>
      <c r="B862" s="72" t="s">
        <v>131</v>
      </c>
      <c r="C862" s="73" t="s">
        <v>132</v>
      </c>
      <c r="D862" s="74" t="str">
        <f t="shared" si="27"/>
        <v>abr/2016</v>
      </c>
      <c r="E862" s="53">
        <v>42479</v>
      </c>
      <c r="F862" s="75">
        <v>425620</v>
      </c>
      <c r="G862" s="72"/>
      <c r="H862" s="49" t="s">
        <v>812</v>
      </c>
      <c r="I862" s="49" t="s">
        <v>191</v>
      </c>
      <c r="J862" s="76">
        <v>-158.1</v>
      </c>
      <c r="K862" s="83" t="str">
        <f>IFERROR(IFERROR(VLOOKUP(I862,'DE-PARA'!B:D,3,0),VLOOKUP(I862,'DE-PARA'!C:D,2,0)),"NÃO ENCONTRADO")</f>
        <v>Serviços</v>
      </c>
      <c r="L862" s="50" t="str">
        <f>VLOOKUP(K862,'Base -Receita-Despesa'!$B:$P,1,FALSE)</f>
        <v>Serviços</v>
      </c>
    </row>
    <row r="863" spans="1:12" ht="15" customHeight="1" x14ac:dyDescent="0.3">
      <c r="A863" s="82" t="str">
        <f t="shared" si="26"/>
        <v>2016</v>
      </c>
      <c r="B863" s="72" t="s">
        <v>131</v>
      </c>
      <c r="C863" s="73" t="s">
        <v>132</v>
      </c>
      <c r="D863" s="74" t="str">
        <f t="shared" si="27"/>
        <v>abr/2016</v>
      </c>
      <c r="E863" s="53">
        <v>42479</v>
      </c>
      <c r="F863" s="75">
        <v>426122</v>
      </c>
      <c r="G863" s="72"/>
      <c r="H863" s="49" t="s">
        <v>813</v>
      </c>
      <c r="I863" s="49" t="s">
        <v>110</v>
      </c>
      <c r="J863" s="76">
        <v>-37.200000000000003</v>
      </c>
      <c r="K863" s="83" t="str">
        <f>IFERROR(IFERROR(VLOOKUP(I863,'DE-PARA'!B:D,3,0),VLOOKUP(I863,'DE-PARA'!C:D,2,0)),"NÃO ENCONTRADO")</f>
        <v>Serviços</v>
      </c>
      <c r="L863" s="50" t="str">
        <f>VLOOKUP(K863,'Base -Receita-Despesa'!$B:$P,1,FALSE)</f>
        <v>Serviços</v>
      </c>
    </row>
    <row r="864" spans="1:12" ht="15" customHeight="1" x14ac:dyDescent="0.3">
      <c r="A864" s="82" t="str">
        <f t="shared" si="26"/>
        <v>2016</v>
      </c>
      <c r="B864" s="72" t="s">
        <v>131</v>
      </c>
      <c r="C864" s="73" t="s">
        <v>132</v>
      </c>
      <c r="D864" s="74" t="str">
        <f t="shared" si="27"/>
        <v>abr/2016</v>
      </c>
      <c r="E864" s="53">
        <v>42479</v>
      </c>
      <c r="F864" s="75">
        <v>426747</v>
      </c>
      <c r="G864" s="72"/>
      <c r="H864" s="49" t="s">
        <v>814</v>
      </c>
      <c r="I864" s="49" t="s">
        <v>110</v>
      </c>
      <c r="J864" s="76">
        <v>-64.180000000000007</v>
      </c>
      <c r="K864" s="83" t="str">
        <f>IFERROR(IFERROR(VLOOKUP(I864,'DE-PARA'!B:D,3,0),VLOOKUP(I864,'DE-PARA'!C:D,2,0)),"NÃO ENCONTRADO")</f>
        <v>Serviços</v>
      </c>
      <c r="L864" s="50" t="str">
        <f>VLOOKUP(K864,'Base -Receita-Despesa'!$B:$P,1,FALSE)</f>
        <v>Serviços</v>
      </c>
    </row>
    <row r="865" spans="1:12" ht="15" customHeight="1" x14ac:dyDescent="0.3">
      <c r="A865" s="82" t="str">
        <f t="shared" si="26"/>
        <v>2016</v>
      </c>
      <c r="B865" s="72" t="s">
        <v>131</v>
      </c>
      <c r="C865" s="73" t="s">
        <v>132</v>
      </c>
      <c r="D865" s="74" t="str">
        <f t="shared" si="27"/>
        <v>abr/2016</v>
      </c>
      <c r="E865" s="53">
        <v>42479</v>
      </c>
      <c r="F865" s="75">
        <v>427467</v>
      </c>
      <c r="G865" s="72"/>
      <c r="H865" s="49" t="s">
        <v>293</v>
      </c>
      <c r="I865" s="49" t="s">
        <v>185</v>
      </c>
      <c r="J865" s="76">
        <v>-3971.82</v>
      </c>
      <c r="K865" s="83" t="str">
        <f>IFERROR(IFERROR(VLOOKUP(I865,'DE-PARA'!B:D,3,0),VLOOKUP(I865,'DE-PARA'!C:D,2,0)),"NÃO ENCONTRADO")</f>
        <v>Encargos sobre Folha de Pagamento</v>
      </c>
      <c r="L865" s="50" t="str">
        <f>VLOOKUP(K865,'Base -Receita-Despesa'!$B:$P,1,FALSE)</f>
        <v>Encargos sobre Folha de Pagamento</v>
      </c>
    </row>
    <row r="866" spans="1:12" ht="15" customHeight="1" x14ac:dyDescent="0.3">
      <c r="A866" s="82" t="str">
        <f t="shared" si="26"/>
        <v>2016</v>
      </c>
      <c r="B866" s="72" t="s">
        <v>131</v>
      </c>
      <c r="C866" s="73" t="s">
        <v>132</v>
      </c>
      <c r="D866" s="74" t="str">
        <f t="shared" si="27"/>
        <v>abr/2016</v>
      </c>
      <c r="E866" s="53">
        <v>42479</v>
      </c>
      <c r="F866" s="75">
        <v>818769</v>
      </c>
      <c r="G866" s="72"/>
      <c r="H866" s="49" t="s">
        <v>183</v>
      </c>
      <c r="I866" s="49" t="s">
        <v>159</v>
      </c>
      <c r="J866" s="76">
        <v>-916.65</v>
      </c>
      <c r="K866" s="83" t="str">
        <f>IFERROR(IFERROR(VLOOKUP(I866,'DE-PARA'!B:D,3,0),VLOOKUP(I866,'DE-PARA'!C:D,2,0)),"NÃO ENCONTRADO")</f>
        <v>Materiais</v>
      </c>
      <c r="L866" s="50" t="str">
        <f>VLOOKUP(K866,'Base -Receita-Despesa'!$B:$P,1,FALSE)</f>
        <v>Materiais</v>
      </c>
    </row>
    <row r="867" spans="1:12" ht="15" customHeight="1" x14ac:dyDescent="0.3">
      <c r="A867" s="82" t="str">
        <f t="shared" si="26"/>
        <v>2016</v>
      </c>
      <c r="B867" s="72" t="s">
        <v>131</v>
      </c>
      <c r="C867" s="73" t="s">
        <v>132</v>
      </c>
      <c r="D867" s="74" t="str">
        <f t="shared" si="27"/>
        <v>abr/2016</v>
      </c>
      <c r="E867" s="53">
        <v>42480</v>
      </c>
      <c r="F867" s="75">
        <v>162469</v>
      </c>
      <c r="G867" s="72"/>
      <c r="H867" s="49" t="s">
        <v>226</v>
      </c>
      <c r="I867" s="49" t="s">
        <v>177</v>
      </c>
      <c r="J867" s="76">
        <v>-4571.09</v>
      </c>
      <c r="K867" s="83" t="str">
        <f>IFERROR(IFERROR(VLOOKUP(I867,'DE-PARA'!B:D,3,0),VLOOKUP(I867,'DE-PARA'!C:D,2,0)),"NÃO ENCONTRADO")</f>
        <v>Materiais</v>
      </c>
      <c r="L867" s="50" t="str">
        <f>VLOOKUP(K867,'Base -Receita-Despesa'!$B:$P,1,FALSE)</f>
        <v>Materiais</v>
      </c>
    </row>
    <row r="868" spans="1:12" ht="15" customHeight="1" x14ac:dyDescent="0.3">
      <c r="A868" s="82" t="str">
        <f t="shared" si="26"/>
        <v>2016</v>
      </c>
      <c r="B868" s="72" t="s">
        <v>131</v>
      </c>
      <c r="C868" s="73" t="s">
        <v>132</v>
      </c>
      <c r="D868" s="74" t="str">
        <f t="shared" si="27"/>
        <v>abr/2016</v>
      </c>
      <c r="E868" s="53">
        <v>42480</v>
      </c>
      <c r="F868" s="75">
        <v>844186</v>
      </c>
      <c r="G868" s="72"/>
      <c r="H868" s="49" t="s">
        <v>145</v>
      </c>
      <c r="I868" s="49" t="s">
        <v>144</v>
      </c>
      <c r="J868" s="76">
        <v>-1699</v>
      </c>
      <c r="K868" s="83" t="str">
        <f>IFERROR(IFERROR(VLOOKUP(I868,'DE-PARA'!B:D,3,0),VLOOKUP(I868,'DE-PARA'!C:D,2,0)),"NÃO ENCONTRADO")</f>
        <v>Concessionárias (água, luz e telefone)</v>
      </c>
      <c r="L868" s="50" t="str">
        <f>VLOOKUP(K868,'Base -Receita-Despesa'!$B:$P,1,FALSE)</f>
        <v>Concessionárias (água, luz e telefone)</v>
      </c>
    </row>
    <row r="869" spans="1:12" ht="15" customHeight="1" x14ac:dyDescent="0.3">
      <c r="A869" s="82" t="str">
        <f t="shared" si="26"/>
        <v>2016</v>
      </c>
      <c r="B869" s="72" t="s">
        <v>131</v>
      </c>
      <c r="C869" s="73" t="s">
        <v>132</v>
      </c>
      <c r="D869" s="74" t="str">
        <f t="shared" si="27"/>
        <v>abr/2016</v>
      </c>
      <c r="E869" s="53">
        <v>42480</v>
      </c>
      <c r="F869" s="75">
        <v>840750</v>
      </c>
      <c r="G869" s="72"/>
      <c r="H869" s="49" t="s">
        <v>187</v>
      </c>
      <c r="I869" s="49" t="s">
        <v>159</v>
      </c>
      <c r="J869" s="76">
        <v>-1625</v>
      </c>
      <c r="K869" s="83" t="str">
        <f>IFERROR(IFERROR(VLOOKUP(I869,'DE-PARA'!B:D,3,0),VLOOKUP(I869,'DE-PARA'!C:D,2,0)),"NÃO ENCONTRADO")</f>
        <v>Materiais</v>
      </c>
      <c r="L869" s="50" t="str">
        <f>VLOOKUP(K869,'Base -Receita-Despesa'!$B:$P,1,FALSE)</f>
        <v>Materiais</v>
      </c>
    </row>
    <row r="870" spans="1:12" ht="15" customHeight="1" x14ac:dyDescent="0.3">
      <c r="A870" s="82" t="str">
        <f t="shared" si="26"/>
        <v>2016</v>
      </c>
      <c r="B870" s="72" t="s">
        <v>131</v>
      </c>
      <c r="C870" s="73" t="s">
        <v>132</v>
      </c>
      <c r="D870" s="74" t="str">
        <f t="shared" si="27"/>
        <v>abr/2016</v>
      </c>
      <c r="E870" s="53">
        <v>42482</v>
      </c>
      <c r="F870" s="75">
        <v>303074</v>
      </c>
      <c r="G870" s="72"/>
      <c r="H870" s="49" t="s">
        <v>552</v>
      </c>
      <c r="I870" s="49" t="s">
        <v>1497</v>
      </c>
      <c r="J870" s="76">
        <v>238806.9</v>
      </c>
      <c r="K870" s="83" t="str">
        <f>IFERROR(IFERROR(VLOOKUP(I870,'DE-PARA'!B:D,3,0),VLOOKUP(I870,'DE-PARA'!C:D,2,0)),"NÃO ENCONTRADO")</f>
        <v>Repasses Contrato de Gestão</v>
      </c>
      <c r="L870" s="50" t="str">
        <f>VLOOKUP(K870,'Base -Receita-Despesa'!$B:$P,1,FALSE)</f>
        <v>Repasses Contrato de Gestão</v>
      </c>
    </row>
    <row r="871" spans="1:12" ht="15" customHeight="1" x14ac:dyDescent="0.3">
      <c r="A871" s="82" t="str">
        <f t="shared" si="26"/>
        <v>2016</v>
      </c>
      <c r="B871" s="72" t="s">
        <v>131</v>
      </c>
      <c r="C871" s="73" t="s">
        <v>132</v>
      </c>
      <c r="D871" s="74" t="str">
        <f t="shared" si="27"/>
        <v>abr/2016</v>
      </c>
      <c r="E871" s="53">
        <v>42482</v>
      </c>
      <c r="F871" s="75">
        <v>151138</v>
      </c>
      <c r="G871" s="72"/>
      <c r="H871" s="49" t="s">
        <v>517</v>
      </c>
      <c r="I871" s="49" t="s">
        <v>159</v>
      </c>
      <c r="J871" s="76">
        <v>-1701.4</v>
      </c>
      <c r="K871" s="83" t="str">
        <f>IFERROR(IFERROR(VLOOKUP(I871,'DE-PARA'!B:D,3,0),VLOOKUP(I871,'DE-PARA'!C:D,2,0)),"NÃO ENCONTRADO")</f>
        <v>Materiais</v>
      </c>
      <c r="L871" s="50" t="str">
        <f>VLOOKUP(K871,'Base -Receita-Despesa'!$B:$P,1,FALSE)</f>
        <v>Materiais</v>
      </c>
    </row>
    <row r="872" spans="1:12" ht="15" customHeight="1" x14ac:dyDescent="0.3">
      <c r="A872" s="82" t="str">
        <f t="shared" si="26"/>
        <v>2016</v>
      </c>
      <c r="B872" s="72" t="s">
        <v>131</v>
      </c>
      <c r="C872" s="73" t="s">
        <v>132</v>
      </c>
      <c r="D872" s="74" t="str">
        <f t="shared" si="27"/>
        <v>abr/2016</v>
      </c>
      <c r="E872" s="53">
        <v>42482</v>
      </c>
      <c r="F872" s="75">
        <v>138406</v>
      </c>
      <c r="G872" s="72"/>
      <c r="H872" s="49" t="s">
        <v>165</v>
      </c>
      <c r="I872" s="49" t="s">
        <v>113</v>
      </c>
      <c r="J872" s="76">
        <v>-7000</v>
      </c>
      <c r="K872" s="83" t="str">
        <f>IFERROR(IFERROR(VLOOKUP(I872,'DE-PARA'!B:D,3,0),VLOOKUP(I872,'DE-PARA'!C:D,2,0)),"NÃO ENCONTRADO")</f>
        <v>Serviços</v>
      </c>
      <c r="L872" s="50" t="str">
        <f>VLOOKUP(K872,'Base -Receita-Despesa'!$B:$P,1,FALSE)</f>
        <v>Serviços</v>
      </c>
    </row>
    <row r="873" spans="1:12" ht="15" customHeight="1" x14ac:dyDescent="0.3">
      <c r="A873" s="82" t="str">
        <f t="shared" si="26"/>
        <v>2016</v>
      </c>
      <c r="B873" s="72" t="s">
        <v>131</v>
      </c>
      <c r="C873" s="73" t="s">
        <v>132</v>
      </c>
      <c r="D873" s="74" t="str">
        <f t="shared" si="27"/>
        <v>abr/2016</v>
      </c>
      <c r="E873" s="53">
        <v>42482</v>
      </c>
      <c r="F873" s="75" t="s">
        <v>123</v>
      </c>
      <c r="G873" s="72"/>
      <c r="H873" s="49" t="s">
        <v>815</v>
      </c>
      <c r="I873" s="49" t="s">
        <v>124</v>
      </c>
      <c r="J873" s="76">
        <v>-202.63</v>
      </c>
      <c r="K873" s="83" t="str">
        <f>IFERROR(IFERROR(VLOOKUP(I873,'DE-PARA'!B:D,3,0),VLOOKUP(I873,'DE-PARA'!C:D,2,0)),"NÃO ENCONTRADO")</f>
        <v>Rescisões Trabalhistas</v>
      </c>
      <c r="L873" s="50" t="str">
        <f>VLOOKUP(K873,'Base -Receita-Despesa'!$B:$P,1,FALSE)</f>
        <v>Rescisões Trabalhistas</v>
      </c>
    </row>
    <row r="874" spans="1:12" ht="15" customHeight="1" x14ac:dyDescent="0.3">
      <c r="A874" s="82" t="str">
        <f t="shared" si="26"/>
        <v>2016</v>
      </c>
      <c r="B874" s="72" t="s">
        <v>131</v>
      </c>
      <c r="C874" s="73" t="s">
        <v>132</v>
      </c>
      <c r="D874" s="74" t="str">
        <f t="shared" si="27"/>
        <v>abr/2016</v>
      </c>
      <c r="E874" s="53">
        <v>42482</v>
      </c>
      <c r="F874" s="75" t="s">
        <v>123</v>
      </c>
      <c r="G874" s="72"/>
      <c r="H874" s="49" t="s">
        <v>815</v>
      </c>
      <c r="I874" s="49" t="s">
        <v>124</v>
      </c>
      <c r="J874" s="76">
        <v>-2432.6999999999998</v>
      </c>
      <c r="K874" s="83" t="str">
        <f>IFERROR(IFERROR(VLOOKUP(I874,'DE-PARA'!B:D,3,0),VLOOKUP(I874,'DE-PARA'!C:D,2,0)),"NÃO ENCONTRADO")</f>
        <v>Rescisões Trabalhistas</v>
      </c>
      <c r="L874" s="50" t="str">
        <f>VLOOKUP(K874,'Base -Receita-Despesa'!$B:$P,1,FALSE)</f>
        <v>Rescisões Trabalhistas</v>
      </c>
    </row>
    <row r="875" spans="1:12" ht="15" customHeight="1" x14ac:dyDescent="0.3">
      <c r="A875" s="82" t="str">
        <f t="shared" si="26"/>
        <v>2016</v>
      </c>
      <c r="B875" s="72" t="s">
        <v>131</v>
      </c>
      <c r="C875" s="73" t="s">
        <v>132</v>
      </c>
      <c r="D875" s="74" t="str">
        <f t="shared" si="27"/>
        <v>abr/2016</v>
      </c>
      <c r="E875" s="53">
        <v>42482</v>
      </c>
      <c r="F875" s="75">
        <v>149630</v>
      </c>
      <c r="G875" s="72"/>
      <c r="H875" s="49" t="s">
        <v>183</v>
      </c>
      <c r="I875" s="49" t="s">
        <v>159</v>
      </c>
      <c r="J875" s="76">
        <v>-622.29999999999995</v>
      </c>
      <c r="K875" s="83" t="str">
        <f>IFERROR(IFERROR(VLOOKUP(I875,'DE-PARA'!B:D,3,0),VLOOKUP(I875,'DE-PARA'!C:D,2,0)),"NÃO ENCONTRADO")</f>
        <v>Materiais</v>
      </c>
      <c r="L875" s="50" t="str">
        <f>VLOOKUP(K875,'Base -Receita-Despesa'!$B:$P,1,FALSE)</f>
        <v>Materiais</v>
      </c>
    </row>
    <row r="876" spans="1:12" ht="15" customHeight="1" x14ac:dyDescent="0.3">
      <c r="A876" s="82" t="str">
        <f t="shared" si="26"/>
        <v>2016</v>
      </c>
      <c r="B876" s="72" t="s">
        <v>131</v>
      </c>
      <c r="C876" s="73" t="s">
        <v>132</v>
      </c>
      <c r="D876" s="74" t="str">
        <f t="shared" si="27"/>
        <v>abr/2016</v>
      </c>
      <c r="E876" s="53">
        <v>42482</v>
      </c>
      <c r="F876" s="75">
        <v>148473</v>
      </c>
      <c r="G876" s="72"/>
      <c r="H876" s="49" t="s">
        <v>588</v>
      </c>
      <c r="I876" s="49" t="s">
        <v>159</v>
      </c>
      <c r="J876" s="76">
        <v>-406.64</v>
      </c>
      <c r="K876" s="83" t="str">
        <f>IFERROR(IFERROR(VLOOKUP(I876,'DE-PARA'!B:D,3,0),VLOOKUP(I876,'DE-PARA'!C:D,2,0)),"NÃO ENCONTRADO")</f>
        <v>Materiais</v>
      </c>
      <c r="L876" s="50" t="str">
        <f>VLOOKUP(K876,'Base -Receita-Despesa'!$B:$P,1,FALSE)</f>
        <v>Materiais</v>
      </c>
    </row>
    <row r="877" spans="1:12" ht="15" customHeight="1" x14ac:dyDescent="0.3">
      <c r="A877" s="82" t="str">
        <f t="shared" si="26"/>
        <v>2016</v>
      </c>
      <c r="B877" s="72" t="s">
        <v>131</v>
      </c>
      <c r="C877" s="73" t="s">
        <v>132</v>
      </c>
      <c r="D877" s="74" t="str">
        <f t="shared" si="27"/>
        <v>abr/2016</v>
      </c>
      <c r="E877" s="53">
        <v>42482</v>
      </c>
      <c r="F877" s="75">
        <v>153490</v>
      </c>
      <c r="G877" s="72"/>
      <c r="H877" s="49" t="s">
        <v>170</v>
      </c>
      <c r="I877" s="49" t="s">
        <v>171</v>
      </c>
      <c r="J877" s="76">
        <v>59119.16</v>
      </c>
      <c r="K877" s="83" t="str">
        <f>IFERROR(IFERROR(VLOOKUP(I877,'DE-PARA'!B:D,3,0),VLOOKUP(I877,'DE-PARA'!C:D,2,0)),"NÃO ENCONTRADO")</f>
        <v>Serviços</v>
      </c>
      <c r="L877" s="50" t="str">
        <f>VLOOKUP(K877,'Base -Receita-Despesa'!$B:$P,1,FALSE)</f>
        <v>Serviços</v>
      </c>
    </row>
    <row r="878" spans="1:12" ht="15" customHeight="1" x14ac:dyDescent="0.3">
      <c r="A878" s="82" t="str">
        <f t="shared" si="26"/>
        <v>2016</v>
      </c>
      <c r="B878" s="72" t="s">
        <v>131</v>
      </c>
      <c r="C878" s="73" t="s">
        <v>132</v>
      </c>
      <c r="D878" s="74" t="str">
        <f t="shared" si="27"/>
        <v>abr/2016</v>
      </c>
      <c r="E878" s="53">
        <v>42482</v>
      </c>
      <c r="F878" s="75">
        <v>153490</v>
      </c>
      <c r="G878" s="72"/>
      <c r="H878" s="49" t="s">
        <v>170</v>
      </c>
      <c r="I878" s="49" t="s">
        <v>171</v>
      </c>
      <c r="J878" s="76">
        <v>-59119.16</v>
      </c>
      <c r="K878" s="83" t="str">
        <f>IFERROR(IFERROR(VLOOKUP(I878,'DE-PARA'!B:D,3,0),VLOOKUP(I878,'DE-PARA'!C:D,2,0)),"NÃO ENCONTRADO")</f>
        <v>Serviços</v>
      </c>
      <c r="L878" s="50" t="str">
        <f>VLOOKUP(K878,'Base -Receita-Despesa'!$B:$P,1,FALSE)</f>
        <v>Serviços</v>
      </c>
    </row>
    <row r="879" spans="1:12" ht="15" customHeight="1" x14ac:dyDescent="0.3">
      <c r="A879" s="82" t="str">
        <f t="shared" si="26"/>
        <v>2016</v>
      </c>
      <c r="B879" s="72" t="s">
        <v>131</v>
      </c>
      <c r="C879" s="73" t="s">
        <v>132</v>
      </c>
      <c r="D879" s="74" t="str">
        <f t="shared" si="27"/>
        <v>abr/2016</v>
      </c>
      <c r="E879" s="53">
        <v>42485</v>
      </c>
      <c r="F879" s="75">
        <v>260486</v>
      </c>
      <c r="G879" s="72"/>
      <c r="H879" s="49" t="s">
        <v>517</v>
      </c>
      <c r="I879" s="49" t="s">
        <v>159</v>
      </c>
      <c r="J879" s="76">
        <v>-3111.4</v>
      </c>
      <c r="K879" s="83" t="str">
        <f>IFERROR(IFERROR(VLOOKUP(I879,'DE-PARA'!B:D,3,0),VLOOKUP(I879,'DE-PARA'!C:D,2,0)),"NÃO ENCONTRADO")</f>
        <v>Materiais</v>
      </c>
      <c r="L879" s="50" t="str">
        <f>VLOOKUP(K879,'Base -Receita-Despesa'!$B:$P,1,FALSE)</f>
        <v>Materiais</v>
      </c>
    </row>
    <row r="880" spans="1:12" ht="15" customHeight="1" x14ac:dyDescent="0.3">
      <c r="A880" s="82" t="str">
        <f t="shared" si="26"/>
        <v>2016</v>
      </c>
      <c r="B880" s="72" t="s">
        <v>131</v>
      </c>
      <c r="C880" s="73" t="s">
        <v>132</v>
      </c>
      <c r="D880" s="74" t="str">
        <f t="shared" si="27"/>
        <v>abr/2016</v>
      </c>
      <c r="E880" s="53">
        <v>42485</v>
      </c>
      <c r="F880" s="75">
        <v>169132</v>
      </c>
      <c r="G880" s="72"/>
      <c r="H880" s="49" t="s">
        <v>517</v>
      </c>
      <c r="I880" s="49" t="s">
        <v>159</v>
      </c>
      <c r="J880" s="76">
        <v>-250</v>
      </c>
      <c r="K880" s="83" t="str">
        <f>IFERROR(IFERROR(VLOOKUP(I880,'DE-PARA'!B:D,3,0),VLOOKUP(I880,'DE-PARA'!C:D,2,0)),"NÃO ENCONTRADO")</f>
        <v>Materiais</v>
      </c>
      <c r="L880" s="50" t="str">
        <f>VLOOKUP(K880,'Base -Receita-Despesa'!$B:$P,1,FALSE)</f>
        <v>Materiais</v>
      </c>
    </row>
    <row r="881" spans="1:12" ht="15" customHeight="1" x14ac:dyDescent="0.3">
      <c r="A881" s="82" t="str">
        <f t="shared" si="26"/>
        <v>2016</v>
      </c>
      <c r="B881" s="72" t="s">
        <v>131</v>
      </c>
      <c r="C881" s="73" t="s">
        <v>132</v>
      </c>
      <c r="D881" s="74" t="str">
        <f t="shared" si="27"/>
        <v>abr/2016</v>
      </c>
      <c r="E881" s="53">
        <v>42485</v>
      </c>
      <c r="F881" s="75">
        <v>168456</v>
      </c>
      <c r="G881" s="72"/>
      <c r="H881" s="49" t="s">
        <v>165</v>
      </c>
      <c r="I881" s="49" t="s">
        <v>113</v>
      </c>
      <c r="J881" s="76">
        <v>-68.099999999999994</v>
      </c>
      <c r="K881" s="83" t="str">
        <f>IFERROR(IFERROR(VLOOKUP(I881,'DE-PARA'!B:D,3,0),VLOOKUP(I881,'DE-PARA'!C:D,2,0)),"NÃO ENCONTRADO")</f>
        <v>Serviços</v>
      </c>
      <c r="L881" s="50" t="str">
        <f>VLOOKUP(K881,'Base -Receita-Despesa'!$B:$P,1,FALSE)</f>
        <v>Serviços</v>
      </c>
    </row>
    <row r="882" spans="1:12" ht="15" customHeight="1" x14ac:dyDescent="0.3">
      <c r="A882" s="82" t="str">
        <f t="shared" si="26"/>
        <v>2016</v>
      </c>
      <c r="B882" s="72" t="s">
        <v>131</v>
      </c>
      <c r="C882" s="73" t="s">
        <v>132</v>
      </c>
      <c r="D882" s="74" t="str">
        <f t="shared" si="27"/>
        <v>abr/2016</v>
      </c>
      <c r="E882" s="53">
        <v>42485</v>
      </c>
      <c r="F882" s="75">
        <v>168834</v>
      </c>
      <c r="G882" s="72"/>
      <c r="H882" s="49" t="s">
        <v>165</v>
      </c>
      <c r="I882" s="49" t="s">
        <v>113</v>
      </c>
      <c r="J882" s="76">
        <v>-191.54</v>
      </c>
      <c r="K882" s="83" t="str">
        <f>IFERROR(IFERROR(VLOOKUP(I882,'DE-PARA'!B:D,3,0),VLOOKUP(I882,'DE-PARA'!C:D,2,0)),"NÃO ENCONTRADO")</f>
        <v>Serviços</v>
      </c>
      <c r="L882" s="50" t="str">
        <f>VLOOKUP(K882,'Base -Receita-Despesa'!$B:$P,1,FALSE)</f>
        <v>Serviços</v>
      </c>
    </row>
    <row r="883" spans="1:12" ht="15" customHeight="1" x14ac:dyDescent="0.3">
      <c r="A883" s="82" t="str">
        <f t="shared" si="26"/>
        <v>2016</v>
      </c>
      <c r="B883" s="72" t="s">
        <v>131</v>
      </c>
      <c r="C883" s="73" t="s">
        <v>132</v>
      </c>
      <c r="D883" s="74" t="str">
        <f t="shared" si="27"/>
        <v>abr/2016</v>
      </c>
      <c r="E883" s="53">
        <v>42485</v>
      </c>
      <c r="F883" s="75">
        <v>257641</v>
      </c>
      <c r="G883" s="72"/>
      <c r="H883" s="49" t="s">
        <v>282</v>
      </c>
      <c r="I883" s="49" t="s">
        <v>110</v>
      </c>
      <c r="J883" s="76">
        <v>-2916.92</v>
      </c>
      <c r="K883" s="83" t="str">
        <f>IFERROR(IFERROR(VLOOKUP(I883,'DE-PARA'!B:D,3,0),VLOOKUP(I883,'DE-PARA'!C:D,2,0)),"NÃO ENCONTRADO")</f>
        <v>Serviços</v>
      </c>
      <c r="L883" s="50" t="str">
        <f>VLOOKUP(K883,'Base -Receita-Despesa'!$B:$P,1,FALSE)</f>
        <v>Serviços</v>
      </c>
    </row>
    <row r="884" spans="1:12" ht="15" customHeight="1" x14ac:dyDescent="0.3">
      <c r="A884" s="82" t="str">
        <f t="shared" si="26"/>
        <v>2016</v>
      </c>
      <c r="B884" s="72" t="s">
        <v>131</v>
      </c>
      <c r="C884" s="73" t="s">
        <v>132</v>
      </c>
      <c r="D884" s="74" t="str">
        <f t="shared" si="27"/>
        <v>abr/2016</v>
      </c>
      <c r="E884" s="53">
        <v>42485</v>
      </c>
      <c r="F884" s="75">
        <v>0</v>
      </c>
      <c r="G884" s="72"/>
      <c r="H884" s="49" t="s">
        <v>236</v>
      </c>
      <c r="I884" s="49" t="s">
        <v>129</v>
      </c>
      <c r="J884" s="76">
        <v>-25.3</v>
      </c>
      <c r="K884" s="83" t="str">
        <f>IFERROR(IFERROR(VLOOKUP(I884,'DE-PARA'!B:D,3,0),VLOOKUP(I884,'DE-PARA'!C:D,2,0)),"NÃO ENCONTRADO")</f>
        <v>Outras Saídas</v>
      </c>
      <c r="L884" s="50" t="str">
        <f>VLOOKUP(K884,'Base -Receita-Despesa'!$B:$P,1,FALSE)</f>
        <v>Outras Saídas</v>
      </c>
    </row>
    <row r="885" spans="1:12" ht="15" customHeight="1" x14ac:dyDescent="0.3">
      <c r="A885" s="82" t="str">
        <f t="shared" si="26"/>
        <v>2016</v>
      </c>
      <c r="B885" s="72" t="s">
        <v>131</v>
      </c>
      <c r="C885" s="73" t="s">
        <v>132</v>
      </c>
      <c r="D885" s="74" t="str">
        <f t="shared" si="27"/>
        <v>abr/2016</v>
      </c>
      <c r="E885" s="53">
        <v>42485</v>
      </c>
      <c r="F885" s="75">
        <v>255038</v>
      </c>
      <c r="G885" s="72"/>
      <c r="H885" s="49" t="s">
        <v>353</v>
      </c>
      <c r="I885" s="49" t="s">
        <v>159</v>
      </c>
      <c r="J885" s="76">
        <v>-946</v>
      </c>
      <c r="K885" s="83" t="str">
        <f>IFERROR(IFERROR(VLOOKUP(I885,'DE-PARA'!B:D,3,0),VLOOKUP(I885,'DE-PARA'!C:D,2,0)),"NÃO ENCONTRADO")</f>
        <v>Materiais</v>
      </c>
      <c r="L885" s="50" t="str">
        <f>VLOOKUP(K885,'Base -Receita-Despesa'!$B:$P,1,FALSE)</f>
        <v>Materiais</v>
      </c>
    </row>
    <row r="886" spans="1:12" ht="15" customHeight="1" x14ac:dyDescent="0.3">
      <c r="A886" s="82" t="str">
        <f t="shared" si="26"/>
        <v>2016</v>
      </c>
      <c r="B886" s="72" t="s">
        <v>131</v>
      </c>
      <c r="C886" s="73" t="s">
        <v>132</v>
      </c>
      <c r="D886" s="74" t="str">
        <f t="shared" si="27"/>
        <v>abr/2016</v>
      </c>
      <c r="E886" s="53">
        <v>42485</v>
      </c>
      <c r="F886" s="75">
        <v>169492</v>
      </c>
      <c r="G886" s="72"/>
      <c r="H886" s="49" t="s">
        <v>816</v>
      </c>
      <c r="I886" s="49" t="s">
        <v>159</v>
      </c>
      <c r="J886" s="76">
        <v>-1750</v>
      </c>
      <c r="K886" s="83" t="str">
        <f>IFERROR(IFERROR(VLOOKUP(I886,'DE-PARA'!B:D,3,0),VLOOKUP(I886,'DE-PARA'!C:D,2,0)),"NÃO ENCONTRADO")</f>
        <v>Materiais</v>
      </c>
      <c r="L886" s="50" t="str">
        <f>VLOOKUP(K886,'Base -Receita-Despesa'!$B:$P,1,FALSE)</f>
        <v>Materiais</v>
      </c>
    </row>
    <row r="887" spans="1:12" ht="15" customHeight="1" x14ac:dyDescent="0.3">
      <c r="A887" s="82" t="str">
        <f t="shared" si="26"/>
        <v>2016</v>
      </c>
      <c r="B887" s="72" t="s">
        <v>131</v>
      </c>
      <c r="C887" s="73" t="s">
        <v>132</v>
      </c>
      <c r="D887" s="74" t="str">
        <f t="shared" si="27"/>
        <v>abr/2016</v>
      </c>
      <c r="E887" s="53">
        <v>42485</v>
      </c>
      <c r="F887" s="75">
        <v>263132</v>
      </c>
      <c r="G887" s="72"/>
      <c r="H887" s="49" t="s">
        <v>213</v>
      </c>
      <c r="I887" s="49" t="s">
        <v>159</v>
      </c>
      <c r="J887" s="76">
        <v>-1085.54</v>
      </c>
      <c r="K887" s="83" t="str">
        <f>IFERROR(IFERROR(VLOOKUP(I887,'DE-PARA'!B:D,3,0),VLOOKUP(I887,'DE-PARA'!C:D,2,0)),"NÃO ENCONTRADO")</f>
        <v>Materiais</v>
      </c>
      <c r="L887" s="50" t="str">
        <f>VLOOKUP(K887,'Base -Receita-Despesa'!$B:$P,1,FALSE)</f>
        <v>Materiais</v>
      </c>
    </row>
    <row r="888" spans="1:12" ht="15" customHeight="1" x14ac:dyDescent="0.3">
      <c r="A888" s="82" t="str">
        <f t="shared" si="26"/>
        <v>2016</v>
      </c>
      <c r="B888" s="72" t="s">
        <v>131</v>
      </c>
      <c r="C888" s="73" t="s">
        <v>132</v>
      </c>
      <c r="D888" s="74" t="str">
        <f t="shared" si="27"/>
        <v>abr/2016</v>
      </c>
      <c r="E888" s="53">
        <v>42486</v>
      </c>
      <c r="F888" s="75" t="s">
        <v>243</v>
      </c>
      <c r="G888" s="72"/>
      <c r="H888" s="49" t="s">
        <v>817</v>
      </c>
      <c r="I888" s="49" t="s">
        <v>124</v>
      </c>
      <c r="J888" s="76">
        <v>-1531.44</v>
      </c>
      <c r="K888" s="83" t="str">
        <f>IFERROR(IFERROR(VLOOKUP(I888,'DE-PARA'!B:D,3,0),VLOOKUP(I888,'DE-PARA'!C:D,2,0)),"NÃO ENCONTRADO")</f>
        <v>Rescisões Trabalhistas</v>
      </c>
      <c r="L888" s="50" t="str">
        <f>VLOOKUP(K888,'Base -Receita-Despesa'!$B:$P,1,FALSE)</f>
        <v>Rescisões Trabalhistas</v>
      </c>
    </row>
    <row r="889" spans="1:12" ht="15" customHeight="1" x14ac:dyDescent="0.3">
      <c r="A889" s="82" t="str">
        <f t="shared" si="26"/>
        <v>2016</v>
      </c>
      <c r="B889" s="72" t="s">
        <v>131</v>
      </c>
      <c r="C889" s="73" t="s">
        <v>132</v>
      </c>
      <c r="D889" s="74" t="str">
        <f t="shared" si="27"/>
        <v>abr/2016</v>
      </c>
      <c r="E889" s="53">
        <v>42486</v>
      </c>
      <c r="F889" s="75">
        <v>905624</v>
      </c>
      <c r="G889" s="72"/>
      <c r="H889" s="49" t="s">
        <v>588</v>
      </c>
      <c r="I889" s="49" t="s">
        <v>159</v>
      </c>
      <c r="J889" s="76">
        <v>-756</v>
      </c>
      <c r="K889" s="83" t="str">
        <f>IFERROR(IFERROR(VLOOKUP(I889,'DE-PARA'!B:D,3,0),VLOOKUP(I889,'DE-PARA'!C:D,2,0)),"NÃO ENCONTRADO")</f>
        <v>Materiais</v>
      </c>
      <c r="L889" s="50" t="str">
        <f>VLOOKUP(K889,'Base -Receita-Despesa'!$B:$P,1,FALSE)</f>
        <v>Materiais</v>
      </c>
    </row>
    <row r="890" spans="1:12" ht="15" customHeight="1" x14ac:dyDescent="0.3">
      <c r="A890" s="82" t="str">
        <f t="shared" si="26"/>
        <v>2016</v>
      </c>
      <c r="B890" s="72" t="s">
        <v>131</v>
      </c>
      <c r="C890" s="73" t="s">
        <v>132</v>
      </c>
      <c r="D890" s="74" t="str">
        <f t="shared" si="27"/>
        <v>abr/2016</v>
      </c>
      <c r="E890" s="53">
        <v>42486</v>
      </c>
      <c r="F890" s="75">
        <v>907291</v>
      </c>
      <c r="G890" s="72"/>
      <c r="H890" s="49" t="s">
        <v>588</v>
      </c>
      <c r="I890" s="49" t="s">
        <v>159</v>
      </c>
      <c r="J890" s="76">
        <v>-2327.27</v>
      </c>
      <c r="K890" s="83" t="str">
        <f>IFERROR(IFERROR(VLOOKUP(I890,'DE-PARA'!B:D,3,0),VLOOKUP(I890,'DE-PARA'!C:D,2,0)),"NÃO ENCONTRADO")</f>
        <v>Materiais</v>
      </c>
      <c r="L890" s="50" t="str">
        <f>VLOOKUP(K890,'Base -Receita-Despesa'!$B:$P,1,FALSE)</f>
        <v>Materiais</v>
      </c>
    </row>
    <row r="891" spans="1:12" ht="15" customHeight="1" x14ac:dyDescent="0.3">
      <c r="A891" s="82" t="str">
        <f t="shared" si="26"/>
        <v>2016</v>
      </c>
      <c r="B891" s="72" t="s">
        <v>131</v>
      </c>
      <c r="C891" s="73" t="s">
        <v>132</v>
      </c>
      <c r="D891" s="74" t="str">
        <f t="shared" si="27"/>
        <v>abr/2016</v>
      </c>
      <c r="E891" s="53">
        <v>42486</v>
      </c>
      <c r="F891" s="75">
        <v>908602</v>
      </c>
      <c r="G891" s="72"/>
      <c r="H891" s="49" t="s">
        <v>588</v>
      </c>
      <c r="I891" s="49" t="s">
        <v>159</v>
      </c>
      <c r="J891" s="76">
        <v>-5490.93</v>
      </c>
      <c r="K891" s="83" t="str">
        <f>IFERROR(IFERROR(VLOOKUP(I891,'DE-PARA'!B:D,3,0),VLOOKUP(I891,'DE-PARA'!C:D,2,0)),"NÃO ENCONTRADO")</f>
        <v>Materiais</v>
      </c>
      <c r="L891" s="50" t="str">
        <f>VLOOKUP(K891,'Base -Receita-Despesa'!$B:$P,1,FALSE)</f>
        <v>Materiais</v>
      </c>
    </row>
    <row r="892" spans="1:12" ht="15" customHeight="1" x14ac:dyDescent="0.3">
      <c r="A892" s="82" t="str">
        <f t="shared" si="26"/>
        <v>2016</v>
      </c>
      <c r="B892" s="72" t="s">
        <v>131</v>
      </c>
      <c r="C892" s="73" t="s">
        <v>132</v>
      </c>
      <c r="D892" s="74" t="str">
        <f t="shared" si="27"/>
        <v>abr/2016</v>
      </c>
      <c r="E892" s="53">
        <v>42486</v>
      </c>
      <c r="F892" s="75">
        <v>101533</v>
      </c>
      <c r="G892" s="72"/>
      <c r="H892" s="49" t="s">
        <v>170</v>
      </c>
      <c r="I892" s="49" t="s">
        <v>171</v>
      </c>
      <c r="J892" s="76">
        <v>-59119.16</v>
      </c>
      <c r="K892" s="83" t="str">
        <f>IFERROR(IFERROR(VLOOKUP(I892,'DE-PARA'!B:D,3,0),VLOOKUP(I892,'DE-PARA'!C:D,2,0)),"NÃO ENCONTRADO")</f>
        <v>Serviços</v>
      </c>
      <c r="L892" s="50" t="str">
        <f>VLOOKUP(K892,'Base -Receita-Despesa'!$B:$P,1,FALSE)</f>
        <v>Serviços</v>
      </c>
    </row>
    <row r="893" spans="1:12" ht="15" customHeight="1" x14ac:dyDescent="0.3">
      <c r="A893" s="82" t="str">
        <f t="shared" si="26"/>
        <v>2016</v>
      </c>
      <c r="B893" s="72" t="s">
        <v>131</v>
      </c>
      <c r="C893" s="73" t="s">
        <v>132</v>
      </c>
      <c r="D893" s="74" t="str">
        <f t="shared" si="27"/>
        <v>abr/2016</v>
      </c>
      <c r="E893" s="53">
        <v>42487</v>
      </c>
      <c r="F893" s="75" t="s">
        <v>125</v>
      </c>
      <c r="G893" s="72"/>
      <c r="H893" s="49" t="s">
        <v>818</v>
      </c>
      <c r="I893" s="49" t="s">
        <v>127</v>
      </c>
      <c r="J893" s="76">
        <v>-2097.59</v>
      </c>
      <c r="K893" s="83" t="str">
        <f>IFERROR(IFERROR(VLOOKUP(I893,'DE-PARA'!B:D,3,0),VLOOKUP(I893,'DE-PARA'!C:D,2,0)),"NÃO ENCONTRADO")</f>
        <v>Pessoal</v>
      </c>
      <c r="L893" s="50" t="str">
        <f>VLOOKUP(K893,'Base -Receita-Despesa'!$B:$P,1,FALSE)</f>
        <v>Pessoal</v>
      </c>
    </row>
    <row r="894" spans="1:12" ht="15" customHeight="1" x14ac:dyDescent="0.3">
      <c r="A894" s="82" t="str">
        <f t="shared" si="26"/>
        <v>2016</v>
      </c>
      <c r="B894" s="72" t="s">
        <v>131</v>
      </c>
      <c r="C894" s="73" t="s">
        <v>132</v>
      </c>
      <c r="D894" s="74" t="str">
        <f t="shared" si="27"/>
        <v>abr/2016</v>
      </c>
      <c r="E894" s="53">
        <v>42487</v>
      </c>
      <c r="F894" s="75" t="s">
        <v>125</v>
      </c>
      <c r="G894" s="72"/>
      <c r="H894" s="49" t="s">
        <v>819</v>
      </c>
      <c r="I894" s="49" t="s">
        <v>127</v>
      </c>
      <c r="J894" s="76">
        <v>-3137.43</v>
      </c>
      <c r="K894" s="83" t="str">
        <f>IFERROR(IFERROR(VLOOKUP(I894,'DE-PARA'!B:D,3,0),VLOOKUP(I894,'DE-PARA'!C:D,2,0)),"NÃO ENCONTRADO")</f>
        <v>Pessoal</v>
      </c>
      <c r="L894" s="50" t="str">
        <f>VLOOKUP(K894,'Base -Receita-Despesa'!$B:$P,1,FALSE)</f>
        <v>Pessoal</v>
      </c>
    </row>
    <row r="895" spans="1:12" ht="15" customHeight="1" x14ac:dyDescent="0.3">
      <c r="A895" s="82" t="str">
        <f t="shared" si="26"/>
        <v>2016</v>
      </c>
      <c r="B895" s="72" t="s">
        <v>131</v>
      </c>
      <c r="C895" s="73" t="s">
        <v>132</v>
      </c>
      <c r="D895" s="74" t="str">
        <f t="shared" si="27"/>
        <v>abr/2016</v>
      </c>
      <c r="E895" s="53">
        <v>42487</v>
      </c>
      <c r="F895" s="75" t="s">
        <v>125</v>
      </c>
      <c r="G895" s="72"/>
      <c r="H895" s="49" t="s">
        <v>820</v>
      </c>
      <c r="I895" s="49" t="s">
        <v>127</v>
      </c>
      <c r="J895" s="76">
        <v>-3291.12</v>
      </c>
      <c r="K895" s="83" t="str">
        <f>IFERROR(IFERROR(VLOOKUP(I895,'DE-PARA'!B:D,3,0),VLOOKUP(I895,'DE-PARA'!C:D,2,0)),"NÃO ENCONTRADO")</f>
        <v>Pessoal</v>
      </c>
      <c r="L895" s="50" t="str">
        <f>VLOOKUP(K895,'Base -Receita-Despesa'!$B:$P,1,FALSE)</f>
        <v>Pessoal</v>
      </c>
    </row>
    <row r="896" spans="1:12" ht="15" customHeight="1" x14ac:dyDescent="0.3">
      <c r="A896" s="82" t="str">
        <f t="shared" si="26"/>
        <v>2016</v>
      </c>
      <c r="B896" s="72" t="s">
        <v>131</v>
      </c>
      <c r="C896" s="73" t="s">
        <v>132</v>
      </c>
      <c r="D896" s="74" t="str">
        <f t="shared" si="27"/>
        <v>abr/2016</v>
      </c>
      <c r="E896" s="53">
        <v>42487</v>
      </c>
      <c r="F896" s="75" t="s">
        <v>125</v>
      </c>
      <c r="G896" s="72"/>
      <c r="H896" s="49" t="s">
        <v>400</v>
      </c>
      <c r="I896" s="49" t="s">
        <v>127</v>
      </c>
      <c r="J896" s="76">
        <v>-17203.150000000001</v>
      </c>
      <c r="K896" s="83" t="str">
        <f>IFERROR(IFERROR(VLOOKUP(I896,'DE-PARA'!B:D,3,0),VLOOKUP(I896,'DE-PARA'!C:D,2,0)),"NÃO ENCONTRADO")</f>
        <v>Pessoal</v>
      </c>
      <c r="L896" s="50" t="str">
        <f>VLOOKUP(K896,'Base -Receita-Despesa'!$B:$P,1,FALSE)</f>
        <v>Pessoal</v>
      </c>
    </row>
    <row r="897" spans="1:12" ht="15" customHeight="1" x14ac:dyDescent="0.3">
      <c r="A897" s="82" t="str">
        <f t="shared" si="26"/>
        <v>2016</v>
      </c>
      <c r="B897" s="72" t="s">
        <v>131</v>
      </c>
      <c r="C897" s="73" t="s">
        <v>132</v>
      </c>
      <c r="D897" s="74" t="str">
        <f t="shared" si="27"/>
        <v>abr/2016</v>
      </c>
      <c r="E897" s="53">
        <v>42487</v>
      </c>
      <c r="F897" s="75">
        <v>129014</v>
      </c>
      <c r="G897" s="72"/>
      <c r="H897" s="49" t="s">
        <v>821</v>
      </c>
      <c r="I897" s="49" t="s">
        <v>127</v>
      </c>
      <c r="J897" s="76">
        <v>-1423.95</v>
      </c>
      <c r="K897" s="83" t="str">
        <f>IFERROR(IFERROR(VLOOKUP(I897,'DE-PARA'!B:D,3,0),VLOOKUP(I897,'DE-PARA'!C:D,2,0)),"NÃO ENCONTRADO")</f>
        <v>Pessoal</v>
      </c>
      <c r="L897" s="50" t="str">
        <f>VLOOKUP(K897,'Base -Receita-Despesa'!$B:$P,1,FALSE)</f>
        <v>Pessoal</v>
      </c>
    </row>
    <row r="898" spans="1:12" ht="15" customHeight="1" x14ac:dyDescent="0.3">
      <c r="A898" s="82" t="str">
        <f t="shared" si="26"/>
        <v>2016</v>
      </c>
      <c r="B898" s="72" t="s">
        <v>131</v>
      </c>
      <c r="C898" s="73" t="s">
        <v>132</v>
      </c>
      <c r="D898" s="74" t="str">
        <f t="shared" si="27"/>
        <v>abr/2016</v>
      </c>
      <c r="E898" s="53">
        <v>42487</v>
      </c>
      <c r="F898" s="75">
        <v>1818</v>
      </c>
      <c r="G898" s="72"/>
      <c r="H898" s="49" t="s">
        <v>822</v>
      </c>
      <c r="I898" s="49" t="s">
        <v>153</v>
      </c>
      <c r="J898" s="76">
        <v>14.67</v>
      </c>
      <c r="K898" s="83" t="str">
        <f>IFERROR(IFERROR(VLOOKUP(I898,'DE-PARA'!B:D,3,0),VLOOKUP(I898,'DE-PARA'!C:D,2,0)),"NÃO ENCONTRADO")</f>
        <v>Outras Saídas</v>
      </c>
      <c r="L898" s="50" t="str">
        <f>VLOOKUP(K898,'Base -Receita-Despesa'!$B:$P,1,FALSE)</f>
        <v>Outras Saídas</v>
      </c>
    </row>
    <row r="899" spans="1:12" ht="15" customHeight="1" x14ac:dyDescent="0.3">
      <c r="A899" s="82" t="str">
        <f t="shared" si="26"/>
        <v>2016</v>
      </c>
      <c r="B899" s="72" t="s">
        <v>131</v>
      </c>
      <c r="C899" s="73" t="s">
        <v>132</v>
      </c>
      <c r="D899" s="74" t="str">
        <f t="shared" si="27"/>
        <v>abr/2016</v>
      </c>
      <c r="E899" s="53">
        <v>42487</v>
      </c>
      <c r="F899" s="75">
        <v>404948</v>
      </c>
      <c r="G899" s="72"/>
      <c r="H899" s="49" t="s">
        <v>588</v>
      </c>
      <c r="I899" s="49" t="s">
        <v>159</v>
      </c>
      <c r="J899" s="76">
        <v>-2074.2600000000002</v>
      </c>
      <c r="K899" s="83" t="str">
        <f>IFERROR(IFERROR(VLOOKUP(I899,'DE-PARA'!B:D,3,0),VLOOKUP(I899,'DE-PARA'!C:D,2,0)),"NÃO ENCONTRADO")</f>
        <v>Materiais</v>
      </c>
      <c r="L899" s="50" t="str">
        <f>VLOOKUP(K899,'Base -Receita-Despesa'!$B:$P,1,FALSE)</f>
        <v>Materiais</v>
      </c>
    </row>
    <row r="900" spans="1:12" ht="15" customHeight="1" x14ac:dyDescent="0.3">
      <c r="A900" s="82" t="str">
        <f t="shared" ref="A900:A963" si="28">IF(K900="NÃO ENCONTRADO",0,RIGHT(D900,4))</f>
        <v>2016</v>
      </c>
      <c r="B900" s="72" t="s">
        <v>131</v>
      </c>
      <c r="C900" s="73" t="s">
        <v>132</v>
      </c>
      <c r="D900" s="74" t="str">
        <f t="shared" ref="D900:D963" si="29">TEXT(E900,"mmm/aaaa")</f>
        <v>abr/2016</v>
      </c>
      <c r="E900" s="53">
        <v>42487</v>
      </c>
      <c r="F900" s="75">
        <v>405978</v>
      </c>
      <c r="G900" s="72"/>
      <c r="H900" s="49" t="s">
        <v>588</v>
      </c>
      <c r="I900" s="49" t="s">
        <v>159</v>
      </c>
      <c r="J900" s="76">
        <v>-4023.97</v>
      </c>
      <c r="K900" s="83" t="str">
        <f>IFERROR(IFERROR(VLOOKUP(I900,'DE-PARA'!B:D,3,0),VLOOKUP(I900,'DE-PARA'!C:D,2,0)),"NÃO ENCONTRADO")</f>
        <v>Materiais</v>
      </c>
      <c r="L900" s="50" t="str">
        <f>VLOOKUP(K900,'Base -Receita-Despesa'!$B:$P,1,FALSE)</f>
        <v>Materiais</v>
      </c>
    </row>
    <row r="901" spans="1:12" ht="15" customHeight="1" x14ac:dyDescent="0.3">
      <c r="A901" s="82" t="str">
        <f t="shared" si="28"/>
        <v>2016</v>
      </c>
      <c r="B901" s="72" t="s">
        <v>131</v>
      </c>
      <c r="C901" s="73" t="s">
        <v>132</v>
      </c>
      <c r="D901" s="74" t="str">
        <f t="shared" si="29"/>
        <v>abr/2016</v>
      </c>
      <c r="E901" s="53">
        <v>42488</v>
      </c>
      <c r="F901" s="75">
        <v>102641</v>
      </c>
      <c r="G901" s="72"/>
      <c r="H901" s="49" t="s">
        <v>823</v>
      </c>
      <c r="I901" s="49" t="s">
        <v>127</v>
      </c>
      <c r="J901" s="76">
        <v>-1462.52</v>
      </c>
      <c r="K901" s="83" t="str">
        <f>IFERROR(IFERROR(VLOOKUP(I901,'DE-PARA'!B:D,3,0),VLOOKUP(I901,'DE-PARA'!C:D,2,0)),"NÃO ENCONTRADO")</f>
        <v>Pessoal</v>
      </c>
      <c r="L901" s="50" t="str">
        <f>VLOOKUP(K901,'Base -Receita-Despesa'!$B:$P,1,FALSE)</f>
        <v>Pessoal</v>
      </c>
    </row>
    <row r="902" spans="1:12" ht="15" customHeight="1" x14ac:dyDescent="0.3">
      <c r="A902" s="82" t="str">
        <f t="shared" si="28"/>
        <v>2016</v>
      </c>
      <c r="B902" s="72" t="s">
        <v>131</v>
      </c>
      <c r="C902" s="73" t="s">
        <v>132</v>
      </c>
      <c r="D902" s="74" t="str">
        <f t="shared" si="29"/>
        <v>abr/2016</v>
      </c>
      <c r="E902" s="53">
        <v>42488</v>
      </c>
      <c r="F902" s="75" t="s">
        <v>125</v>
      </c>
      <c r="G902" s="72"/>
      <c r="H902" s="49" t="s">
        <v>824</v>
      </c>
      <c r="I902" s="49" t="s">
        <v>127</v>
      </c>
      <c r="J902" s="76">
        <v>-3634.49</v>
      </c>
      <c r="K902" s="83" t="str">
        <f>IFERROR(IFERROR(VLOOKUP(I902,'DE-PARA'!B:D,3,0),VLOOKUP(I902,'DE-PARA'!C:D,2,0)),"NÃO ENCONTRADO")</f>
        <v>Pessoal</v>
      </c>
      <c r="L902" s="50" t="str">
        <f>VLOOKUP(K902,'Base -Receita-Despesa'!$B:$P,1,FALSE)</f>
        <v>Pessoal</v>
      </c>
    </row>
    <row r="903" spans="1:12" ht="15" customHeight="1" x14ac:dyDescent="0.3">
      <c r="A903" s="82" t="str">
        <f t="shared" si="28"/>
        <v>2016</v>
      </c>
      <c r="B903" s="72" t="s">
        <v>131</v>
      </c>
      <c r="C903" s="73" t="s">
        <v>132</v>
      </c>
      <c r="D903" s="74" t="str">
        <f t="shared" si="29"/>
        <v>abr/2016</v>
      </c>
      <c r="E903" s="53">
        <v>42488</v>
      </c>
      <c r="F903" s="75">
        <v>145320</v>
      </c>
      <c r="G903" s="72"/>
      <c r="H903" s="49" t="s">
        <v>224</v>
      </c>
      <c r="I903" s="49" t="s">
        <v>150</v>
      </c>
      <c r="J903" s="76">
        <v>-675</v>
      </c>
      <c r="K903" s="83" t="str">
        <f>IFERROR(IFERROR(VLOOKUP(I903,'DE-PARA'!B:D,3,0),VLOOKUP(I903,'DE-PARA'!C:D,2,0)),"NÃO ENCONTRADO")</f>
        <v>Materiais</v>
      </c>
      <c r="L903" s="50" t="str">
        <f>VLOOKUP(K903,'Base -Receita-Despesa'!$B:$P,1,FALSE)</f>
        <v>Materiais</v>
      </c>
    </row>
    <row r="904" spans="1:12" ht="15" customHeight="1" x14ac:dyDescent="0.3">
      <c r="A904" s="82" t="str">
        <f t="shared" si="28"/>
        <v>2016</v>
      </c>
      <c r="B904" s="72" t="s">
        <v>131</v>
      </c>
      <c r="C904" s="73" t="s">
        <v>132</v>
      </c>
      <c r="D904" s="74" t="str">
        <f t="shared" si="29"/>
        <v>abr/2016</v>
      </c>
      <c r="E904" s="53">
        <v>42488</v>
      </c>
      <c r="F904" s="75">
        <v>14008</v>
      </c>
      <c r="G904" s="72"/>
      <c r="H904" s="49" t="s">
        <v>825</v>
      </c>
      <c r="I904" s="49" t="s">
        <v>127</v>
      </c>
      <c r="J904" s="76">
        <v>-1401.73</v>
      </c>
      <c r="K904" s="83" t="str">
        <f>IFERROR(IFERROR(VLOOKUP(I904,'DE-PARA'!B:D,3,0),VLOOKUP(I904,'DE-PARA'!C:D,2,0)),"NÃO ENCONTRADO")</f>
        <v>Pessoal</v>
      </c>
      <c r="L904" s="50" t="str">
        <f>VLOOKUP(K904,'Base -Receita-Despesa'!$B:$P,1,FALSE)</f>
        <v>Pessoal</v>
      </c>
    </row>
    <row r="905" spans="1:12" ht="15" customHeight="1" x14ac:dyDescent="0.3">
      <c r="A905" s="82" t="str">
        <f t="shared" si="28"/>
        <v>2016</v>
      </c>
      <c r="B905" s="72" t="s">
        <v>131</v>
      </c>
      <c r="C905" s="73" t="s">
        <v>132</v>
      </c>
      <c r="D905" s="74" t="str">
        <f t="shared" si="29"/>
        <v>abr/2016</v>
      </c>
      <c r="E905" s="53">
        <v>42489</v>
      </c>
      <c r="F905" s="75">
        <v>141079</v>
      </c>
      <c r="G905" s="72"/>
      <c r="H905" s="49" t="s">
        <v>193</v>
      </c>
      <c r="I905" s="49" t="s">
        <v>194</v>
      </c>
      <c r="J905" s="76">
        <v>-156.4</v>
      </c>
      <c r="K905" s="83" t="str">
        <f>IFERROR(IFERROR(VLOOKUP(I905,'DE-PARA'!B:D,3,0),VLOOKUP(I905,'DE-PARA'!C:D,2,0)),"NÃO ENCONTRADO")</f>
        <v>Despesas com Viagens</v>
      </c>
      <c r="L905" s="50" t="str">
        <f>VLOOKUP(K905,'Base -Receita-Despesa'!$B:$P,1,FALSE)</f>
        <v>Despesas com Viagens</v>
      </c>
    </row>
    <row r="906" spans="1:12" ht="15" customHeight="1" x14ac:dyDescent="0.3">
      <c r="A906" s="82" t="str">
        <f t="shared" si="28"/>
        <v>2016</v>
      </c>
      <c r="B906" s="72" t="s">
        <v>131</v>
      </c>
      <c r="C906" s="73" t="s">
        <v>132</v>
      </c>
      <c r="D906" s="74" t="str">
        <f t="shared" si="29"/>
        <v>abr/2016</v>
      </c>
      <c r="E906" s="53">
        <v>42489</v>
      </c>
      <c r="F906" s="75">
        <v>141325</v>
      </c>
      <c r="G906" s="72"/>
      <c r="H906" s="49" t="s">
        <v>193</v>
      </c>
      <c r="I906" s="49" t="s">
        <v>194</v>
      </c>
      <c r="J906" s="76">
        <v>-547.4</v>
      </c>
      <c r="K906" s="83" t="str">
        <f>IFERROR(IFERROR(VLOOKUP(I906,'DE-PARA'!B:D,3,0),VLOOKUP(I906,'DE-PARA'!C:D,2,0)),"NÃO ENCONTRADO")</f>
        <v>Despesas com Viagens</v>
      </c>
      <c r="L906" s="50" t="str">
        <f>VLOOKUP(K906,'Base -Receita-Despesa'!$B:$P,1,FALSE)</f>
        <v>Despesas com Viagens</v>
      </c>
    </row>
    <row r="907" spans="1:12" ht="15" customHeight="1" x14ac:dyDescent="0.3">
      <c r="A907" s="82" t="str">
        <f t="shared" si="28"/>
        <v>2016</v>
      </c>
      <c r="B907" s="72" t="s">
        <v>249</v>
      </c>
      <c r="C907" s="73" t="s">
        <v>132</v>
      </c>
      <c r="D907" s="74" t="str">
        <f t="shared" si="29"/>
        <v>abr/2016</v>
      </c>
      <c r="E907" s="53">
        <v>42489</v>
      </c>
      <c r="F907" s="75" t="s">
        <v>154</v>
      </c>
      <c r="G907" s="72"/>
      <c r="H907" s="49" t="s">
        <v>552</v>
      </c>
      <c r="I907" s="49" t="s">
        <v>1497</v>
      </c>
      <c r="J907" s="76">
        <v>11189.73</v>
      </c>
      <c r="K907" s="83" t="str">
        <f>IFERROR(IFERROR(VLOOKUP(I907,'DE-PARA'!B:D,3,0),VLOOKUP(I907,'DE-PARA'!C:D,2,0)),"NÃO ENCONTRADO")</f>
        <v>Repasses Contrato de Gestão</v>
      </c>
      <c r="L907" s="50" t="str">
        <f>VLOOKUP(K907,'Base -Receita-Despesa'!$B:$P,1,FALSE)</f>
        <v>Repasses Contrato de Gestão</v>
      </c>
    </row>
    <row r="908" spans="1:12" ht="15" customHeight="1" x14ac:dyDescent="0.3">
      <c r="A908" s="82" t="str">
        <f t="shared" si="28"/>
        <v>2016</v>
      </c>
      <c r="B908" s="72" t="s">
        <v>131</v>
      </c>
      <c r="C908" s="73" t="s">
        <v>132</v>
      </c>
      <c r="D908" s="74" t="str">
        <f t="shared" si="29"/>
        <v>abr/2016</v>
      </c>
      <c r="E908" s="53">
        <v>42489</v>
      </c>
      <c r="F908" s="75">
        <v>3562</v>
      </c>
      <c r="G908" s="72"/>
      <c r="H908" s="49" t="s">
        <v>826</v>
      </c>
      <c r="I908" s="49" t="s">
        <v>112</v>
      </c>
      <c r="J908" s="76">
        <v>819.2</v>
      </c>
      <c r="K908" s="83" t="str">
        <f>IFERROR(IFERROR(VLOOKUP(I908,'DE-PARA'!B:D,3,0),VLOOKUP(I908,'DE-PARA'!C:D,2,0)),"NÃO ENCONTRADO")</f>
        <v>Serviços</v>
      </c>
      <c r="L908" s="50" t="str">
        <f>VLOOKUP(K908,'Base -Receita-Despesa'!$B:$P,1,FALSE)</f>
        <v>Serviços</v>
      </c>
    </row>
    <row r="909" spans="1:12" ht="15" customHeight="1" x14ac:dyDescent="0.3">
      <c r="A909" s="82" t="str">
        <f t="shared" si="28"/>
        <v>2016</v>
      </c>
      <c r="B909" s="72" t="s">
        <v>131</v>
      </c>
      <c r="C909" s="73" t="s">
        <v>132</v>
      </c>
      <c r="D909" s="74" t="str">
        <f t="shared" si="29"/>
        <v>abr/2016</v>
      </c>
      <c r="E909" s="53">
        <v>42489</v>
      </c>
      <c r="F909" s="75">
        <v>64108</v>
      </c>
      <c r="G909" s="72"/>
      <c r="H909" s="49" t="s">
        <v>803</v>
      </c>
      <c r="I909" s="49" t="s">
        <v>135</v>
      </c>
      <c r="J909" s="76">
        <v>-59.69</v>
      </c>
      <c r="K909" s="83" t="str">
        <f>IFERROR(IFERROR(VLOOKUP(I909,'DE-PARA'!B:D,3,0),VLOOKUP(I909,'DE-PARA'!C:D,2,0)),"NÃO ENCONTRADO")</f>
        <v>Pessoal</v>
      </c>
      <c r="L909" s="50" t="str">
        <f>VLOOKUP(K909,'Base -Receita-Despesa'!$B:$P,1,FALSE)</f>
        <v>Pessoal</v>
      </c>
    </row>
    <row r="910" spans="1:12" ht="15" customHeight="1" x14ac:dyDescent="0.3">
      <c r="A910" s="82" t="str">
        <f t="shared" si="28"/>
        <v>2016</v>
      </c>
      <c r="B910" s="72" t="s">
        <v>131</v>
      </c>
      <c r="C910" s="73" t="s">
        <v>132</v>
      </c>
      <c r="D910" s="74" t="str">
        <f t="shared" si="29"/>
        <v>abr/2016</v>
      </c>
      <c r="E910" s="53">
        <v>42489</v>
      </c>
      <c r="F910" s="75">
        <v>101748</v>
      </c>
      <c r="G910" s="72"/>
      <c r="H910" s="49" t="s">
        <v>503</v>
      </c>
      <c r="I910" s="49" t="s">
        <v>159</v>
      </c>
      <c r="J910" s="76">
        <v>-113.14</v>
      </c>
      <c r="K910" s="83" t="str">
        <f>IFERROR(IFERROR(VLOOKUP(I910,'DE-PARA'!B:D,3,0),VLOOKUP(I910,'DE-PARA'!C:D,2,0)),"NÃO ENCONTRADO")</f>
        <v>Materiais</v>
      </c>
      <c r="L910" s="50" t="str">
        <f>VLOOKUP(K910,'Base -Receita-Despesa'!$B:$P,1,FALSE)</f>
        <v>Materiais</v>
      </c>
    </row>
    <row r="911" spans="1:12" ht="15" customHeight="1" x14ac:dyDescent="0.3">
      <c r="A911" s="82" t="str">
        <f t="shared" si="28"/>
        <v>2016</v>
      </c>
      <c r="B911" s="72" t="s">
        <v>131</v>
      </c>
      <c r="C911" s="73" t="s">
        <v>132</v>
      </c>
      <c r="D911" s="74" t="str">
        <f t="shared" si="29"/>
        <v>abr/2016</v>
      </c>
      <c r="E911" s="53">
        <v>42489</v>
      </c>
      <c r="F911" s="75">
        <v>101828</v>
      </c>
      <c r="G911" s="72"/>
      <c r="H911" s="49" t="s">
        <v>503</v>
      </c>
      <c r="I911" s="49" t="s">
        <v>159</v>
      </c>
      <c r="J911" s="76">
        <v>-294.58</v>
      </c>
      <c r="K911" s="83" t="str">
        <f>IFERROR(IFERROR(VLOOKUP(I911,'DE-PARA'!B:D,3,0),VLOOKUP(I911,'DE-PARA'!C:D,2,0)),"NÃO ENCONTRADO")</f>
        <v>Materiais</v>
      </c>
      <c r="L911" s="50" t="str">
        <f>VLOOKUP(K911,'Base -Receita-Despesa'!$B:$P,1,FALSE)</f>
        <v>Materiais</v>
      </c>
    </row>
    <row r="912" spans="1:12" ht="15" customHeight="1" x14ac:dyDescent="0.3">
      <c r="A912" s="82" t="str">
        <f t="shared" si="28"/>
        <v>2016</v>
      </c>
      <c r="B912" s="72" t="s">
        <v>131</v>
      </c>
      <c r="C912" s="73" t="s">
        <v>132</v>
      </c>
      <c r="D912" s="74" t="str">
        <f t="shared" si="29"/>
        <v>abr/2016</v>
      </c>
      <c r="E912" s="53">
        <v>42489</v>
      </c>
      <c r="F912" s="75">
        <v>101878</v>
      </c>
      <c r="G912" s="72"/>
      <c r="H912" s="49" t="s">
        <v>503</v>
      </c>
      <c r="I912" s="49" t="s">
        <v>159</v>
      </c>
      <c r="J912" s="76">
        <v>-418.2</v>
      </c>
      <c r="K912" s="83" t="str">
        <f>IFERROR(IFERROR(VLOOKUP(I912,'DE-PARA'!B:D,3,0),VLOOKUP(I912,'DE-PARA'!C:D,2,0)),"NÃO ENCONTRADO")</f>
        <v>Materiais</v>
      </c>
      <c r="L912" s="50" t="str">
        <f>VLOOKUP(K912,'Base -Receita-Despesa'!$B:$P,1,FALSE)</f>
        <v>Materiais</v>
      </c>
    </row>
    <row r="913" spans="1:12" ht="15" customHeight="1" x14ac:dyDescent="0.3">
      <c r="A913" s="82" t="str">
        <f t="shared" si="28"/>
        <v>2016</v>
      </c>
      <c r="B913" s="72" t="s">
        <v>131</v>
      </c>
      <c r="C913" s="73" t="s">
        <v>132</v>
      </c>
      <c r="D913" s="74" t="str">
        <f t="shared" si="29"/>
        <v>abr/2016</v>
      </c>
      <c r="E913" s="53">
        <v>42489</v>
      </c>
      <c r="F913" s="75">
        <v>101924</v>
      </c>
      <c r="G913" s="72"/>
      <c r="H913" s="49" t="s">
        <v>503</v>
      </c>
      <c r="I913" s="49" t="s">
        <v>159</v>
      </c>
      <c r="J913" s="76">
        <v>-510</v>
      </c>
      <c r="K913" s="83" t="str">
        <f>IFERROR(IFERROR(VLOOKUP(I913,'DE-PARA'!B:D,3,0),VLOOKUP(I913,'DE-PARA'!C:D,2,0)),"NÃO ENCONTRADO")</f>
        <v>Materiais</v>
      </c>
      <c r="L913" s="50" t="str">
        <f>VLOOKUP(K913,'Base -Receita-Despesa'!$B:$P,1,FALSE)</f>
        <v>Materiais</v>
      </c>
    </row>
    <row r="914" spans="1:12" ht="15" customHeight="1" x14ac:dyDescent="0.3">
      <c r="A914" s="82" t="str">
        <f t="shared" si="28"/>
        <v>2016</v>
      </c>
      <c r="B914" s="72" t="s">
        <v>131</v>
      </c>
      <c r="C914" s="73" t="s">
        <v>132</v>
      </c>
      <c r="D914" s="74" t="str">
        <f t="shared" si="29"/>
        <v>abr/2016</v>
      </c>
      <c r="E914" s="53">
        <v>42489</v>
      </c>
      <c r="F914" s="75">
        <v>101981</v>
      </c>
      <c r="G914" s="72"/>
      <c r="H914" s="49" t="s">
        <v>503</v>
      </c>
      <c r="I914" s="49" t="s">
        <v>159</v>
      </c>
      <c r="J914" s="76">
        <v>-138</v>
      </c>
      <c r="K914" s="83" t="str">
        <f>IFERROR(IFERROR(VLOOKUP(I914,'DE-PARA'!B:D,3,0),VLOOKUP(I914,'DE-PARA'!C:D,2,0)),"NÃO ENCONTRADO")</f>
        <v>Materiais</v>
      </c>
      <c r="L914" s="50" t="str">
        <f>VLOOKUP(K914,'Base -Receita-Despesa'!$B:$P,1,FALSE)</f>
        <v>Materiais</v>
      </c>
    </row>
    <row r="915" spans="1:12" ht="15" customHeight="1" x14ac:dyDescent="0.3">
      <c r="A915" s="82" t="str">
        <f t="shared" si="28"/>
        <v>2016</v>
      </c>
      <c r="B915" s="72" t="s">
        <v>131</v>
      </c>
      <c r="C915" s="73" t="s">
        <v>132</v>
      </c>
      <c r="D915" s="74" t="str">
        <f t="shared" si="29"/>
        <v>abr/2016</v>
      </c>
      <c r="E915" s="53">
        <v>42489</v>
      </c>
      <c r="F915" s="75">
        <v>797183</v>
      </c>
      <c r="G915" s="72"/>
      <c r="H915" s="49" t="s">
        <v>827</v>
      </c>
      <c r="I915" s="49" t="s">
        <v>112</v>
      </c>
      <c r="J915" s="76">
        <v>-1727.66</v>
      </c>
      <c r="K915" s="83" t="str">
        <f>IFERROR(IFERROR(VLOOKUP(I915,'DE-PARA'!B:D,3,0),VLOOKUP(I915,'DE-PARA'!C:D,2,0)),"NÃO ENCONTRADO")</f>
        <v>Serviços</v>
      </c>
      <c r="L915" s="50" t="str">
        <f>VLOOKUP(K915,'Base -Receita-Despesa'!$B:$P,1,FALSE)</f>
        <v>Serviços</v>
      </c>
    </row>
    <row r="916" spans="1:12" ht="15" customHeight="1" x14ac:dyDescent="0.3">
      <c r="A916" s="82" t="str">
        <f t="shared" si="28"/>
        <v>2016</v>
      </c>
      <c r="B916" s="72" t="s">
        <v>131</v>
      </c>
      <c r="C916" s="73" t="s">
        <v>132</v>
      </c>
      <c r="D916" s="74" t="str">
        <f t="shared" si="29"/>
        <v>abr/2016</v>
      </c>
      <c r="E916" s="53">
        <v>42489</v>
      </c>
      <c r="F916" s="75">
        <v>614116</v>
      </c>
      <c r="G916" s="72"/>
      <c r="H916" s="49" t="s">
        <v>691</v>
      </c>
      <c r="I916" s="49" t="s">
        <v>167</v>
      </c>
      <c r="J916" s="76">
        <v>-529.04999999999995</v>
      </c>
      <c r="K916" s="83" t="str">
        <f>IFERROR(IFERROR(VLOOKUP(I916,'DE-PARA'!B:D,3,0),VLOOKUP(I916,'DE-PARA'!C:D,2,0)),"NÃO ENCONTRADO")</f>
        <v>Materiais</v>
      </c>
      <c r="L916" s="50" t="str">
        <f>VLOOKUP(K916,'Base -Receita-Despesa'!$B:$P,1,FALSE)</f>
        <v>Materiais</v>
      </c>
    </row>
    <row r="917" spans="1:12" ht="15" customHeight="1" x14ac:dyDescent="0.3">
      <c r="A917" s="82" t="str">
        <f t="shared" si="28"/>
        <v>2016</v>
      </c>
      <c r="B917" s="72" t="s">
        <v>131</v>
      </c>
      <c r="C917" s="73" t="s">
        <v>132</v>
      </c>
      <c r="D917" s="74" t="str">
        <f t="shared" si="29"/>
        <v>abr/2016</v>
      </c>
      <c r="E917" s="53">
        <v>42489</v>
      </c>
      <c r="F917" s="75">
        <v>611129</v>
      </c>
      <c r="G917" s="72"/>
      <c r="H917" s="49" t="s">
        <v>588</v>
      </c>
      <c r="I917" s="49" t="s">
        <v>159</v>
      </c>
      <c r="J917" s="76">
        <v>-746.66</v>
      </c>
      <c r="K917" s="83" t="str">
        <f>IFERROR(IFERROR(VLOOKUP(I917,'DE-PARA'!B:D,3,0),VLOOKUP(I917,'DE-PARA'!C:D,2,0)),"NÃO ENCONTRADO")</f>
        <v>Materiais</v>
      </c>
      <c r="L917" s="50" t="str">
        <f>VLOOKUP(K917,'Base -Receita-Despesa'!$B:$P,1,FALSE)</f>
        <v>Materiais</v>
      </c>
    </row>
    <row r="918" spans="1:12" ht="15" customHeight="1" x14ac:dyDescent="0.3">
      <c r="A918" s="82" t="str">
        <f t="shared" si="28"/>
        <v>2016</v>
      </c>
      <c r="B918" s="72" t="s">
        <v>131</v>
      </c>
      <c r="C918" s="73" t="s">
        <v>132</v>
      </c>
      <c r="D918" s="74" t="str">
        <f t="shared" si="29"/>
        <v>abr/2016</v>
      </c>
      <c r="E918" s="53">
        <v>42489</v>
      </c>
      <c r="F918" s="75">
        <v>612400</v>
      </c>
      <c r="G918" s="72"/>
      <c r="H918" s="49" t="s">
        <v>588</v>
      </c>
      <c r="I918" s="49" t="s">
        <v>159</v>
      </c>
      <c r="J918" s="76">
        <v>-373.2</v>
      </c>
      <c r="K918" s="83" t="str">
        <f>IFERROR(IFERROR(VLOOKUP(I918,'DE-PARA'!B:D,3,0),VLOOKUP(I918,'DE-PARA'!C:D,2,0)),"NÃO ENCONTRADO")</f>
        <v>Materiais</v>
      </c>
      <c r="L918" s="50" t="str">
        <f>VLOOKUP(K918,'Base -Receita-Despesa'!$B:$P,1,FALSE)</f>
        <v>Materiais</v>
      </c>
    </row>
    <row r="919" spans="1:12" ht="15" customHeight="1" x14ac:dyDescent="0.3">
      <c r="A919" s="82" t="str">
        <f t="shared" si="28"/>
        <v>2016</v>
      </c>
      <c r="B919" s="72" t="s">
        <v>131</v>
      </c>
      <c r="C919" s="73" t="s">
        <v>132</v>
      </c>
      <c r="D919" s="74" t="str">
        <f t="shared" si="29"/>
        <v>abr/2016</v>
      </c>
      <c r="E919" s="53">
        <v>42489</v>
      </c>
      <c r="F919" s="75" t="s">
        <v>199</v>
      </c>
      <c r="G919" s="72"/>
      <c r="H919" s="49" t="s">
        <v>383</v>
      </c>
      <c r="I919" s="49" t="s">
        <v>192</v>
      </c>
      <c r="J919" s="76">
        <v>-971</v>
      </c>
      <c r="K919" s="83" t="str">
        <f>IFERROR(IFERROR(VLOOKUP(I919,'DE-PARA'!B:D,3,0),VLOOKUP(I919,'DE-PARA'!C:D,2,0)),"NÃO ENCONTRADO")</f>
        <v>Materiais</v>
      </c>
      <c r="L919" s="50" t="str">
        <f>VLOOKUP(K919,'Base -Receita-Despesa'!$B:$P,1,FALSE)</f>
        <v>Materiais</v>
      </c>
    </row>
    <row r="920" spans="1:12" ht="15" customHeight="1" x14ac:dyDescent="0.3">
      <c r="A920" s="82" t="str">
        <f t="shared" si="28"/>
        <v>2016</v>
      </c>
      <c r="B920" s="72" t="s">
        <v>131</v>
      </c>
      <c r="C920" s="73" t="s">
        <v>132</v>
      </c>
      <c r="D920" s="74" t="str">
        <f t="shared" si="29"/>
        <v>abr/2016</v>
      </c>
      <c r="E920" s="53">
        <v>42489</v>
      </c>
      <c r="F920" s="75" t="s">
        <v>828</v>
      </c>
      <c r="G920" s="72"/>
      <c r="H920" s="49" t="s">
        <v>829</v>
      </c>
      <c r="I920" s="49" t="s">
        <v>830</v>
      </c>
      <c r="J920" s="76">
        <v>-288.45</v>
      </c>
      <c r="K920" s="83" t="str">
        <f>IFERROR(IFERROR(VLOOKUP(I920,'DE-PARA'!B:D,3,0),VLOOKUP(I920,'DE-PARA'!C:D,2,0)),"NÃO ENCONTRADO")</f>
        <v>Pessoal</v>
      </c>
      <c r="L920" s="50" t="str">
        <f>VLOOKUP(K920,'Base -Receita-Despesa'!$B:$P,1,FALSE)</f>
        <v>Pessoal</v>
      </c>
    </row>
    <row r="921" spans="1:12" ht="15" customHeight="1" x14ac:dyDescent="0.3">
      <c r="A921" s="82" t="str">
        <f t="shared" si="28"/>
        <v>2016</v>
      </c>
      <c r="B921" s="72" t="s">
        <v>131</v>
      </c>
      <c r="C921" s="73" t="s">
        <v>132</v>
      </c>
      <c r="D921" s="74" t="str">
        <f t="shared" si="29"/>
        <v>abr/2016</v>
      </c>
      <c r="E921" s="53">
        <v>42489</v>
      </c>
      <c r="F921" s="75" t="s">
        <v>828</v>
      </c>
      <c r="G921" s="72"/>
      <c r="H921" s="49" t="s">
        <v>831</v>
      </c>
      <c r="I921" s="49" t="s">
        <v>830</v>
      </c>
      <c r="J921" s="76">
        <v>-42.33</v>
      </c>
      <c r="K921" s="83" t="str">
        <f>IFERROR(IFERROR(VLOOKUP(I921,'DE-PARA'!B:D,3,0),VLOOKUP(I921,'DE-PARA'!C:D,2,0)),"NÃO ENCONTRADO")</f>
        <v>Pessoal</v>
      </c>
      <c r="L921" s="50" t="str">
        <f>VLOOKUP(K921,'Base -Receita-Despesa'!$B:$P,1,FALSE)</f>
        <v>Pessoal</v>
      </c>
    </row>
    <row r="922" spans="1:12" ht="15" customHeight="1" x14ac:dyDescent="0.3">
      <c r="A922" s="82" t="str">
        <f t="shared" si="28"/>
        <v>2016</v>
      </c>
      <c r="B922" s="72" t="s">
        <v>131</v>
      </c>
      <c r="C922" s="73" t="s">
        <v>132</v>
      </c>
      <c r="D922" s="74" t="str">
        <f t="shared" si="29"/>
        <v>abr/2016</v>
      </c>
      <c r="E922" s="53">
        <v>42489</v>
      </c>
      <c r="F922" s="75" t="s">
        <v>828</v>
      </c>
      <c r="G922" s="72"/>
      <c r="H922" s="49" t="s">
        <v>832</v>
      </c>
      <c r="I922" s="49" t="s">
        <v>830</v>
      </c>
      <c r="J922" s="76">
        <v>-5550.61</v>
      </c>
      <c r="K922" s="83" t="str">
        <f>IFERROR(IFERROR(VLOOKUP(I922,'DE-PARA'!B:D,3,0),VLOOKUP(I922,'DE-PARA'!C:D,2,0)),"NÃO ENCONTRADO")</f>
        <v>Pessoal</v>
      </c>
      <c r="L922" s="50" t="str">
        <f>VLOOKUP(K922,'Base -Receita-Despesa'!$B:$P,1,FALSE)</f>
        <v>Pessoal</v>
      </c>
    </row>
    <row r="923" spans="1:12" ht="15" customHeight="1" x14ac:dyDescent="0.3">
      <c r="A923" s="82" t="str">
        <f t="shared" si="28"/>
        <v>2016</v>
      </c>
      <c r="B923" s="72" t="s">
        <v>131</v>
      </c>
      <c r="C923" s="73" t="s">
        <v>132</v>
      </c>
      <c r="D923" s="74" t="str">
        <f t="shared" si="29"/>
        <v>abr/2016</v>
      </c>
      <c r="E923" s="53">
        <v>42489</v>
      </c>
      <c r="F923" s="75" t="s">
        <v>828</v>
      </c>
      <c r="G923" s="72"/>
      <c r="H923" s="49" t="s">
        <v>833</v>
      </c>
      <c r="I923" s="49" t="s">
        <v>830</v>
      </c>
      <c r="J923" s="76">
        <v>-715.66</v>
      </c>
      <c r="K923" s="83" t="str">
        <f>IFERROR(IFERROR(VLOOKUP(I923,'DE-PARA'!B:D,3,0),VLOOKUP(I923,'DE-PARA'!C:D,2,0)),"NÃO ENCONTRADO")</f>
        <v>Pessoal</v>
      </c>
      <c r="L923" s="50" t="str">
        <f>VLOOKUP(K923,'Base -Receita-Despesa'!$B:$P,1,FALSE)</f>
        <v>Pessoal</v>
      </c>
    </row>
    <row r="924" spans="1:12" ht="15" customHeight="1" x14ac:dyDescent="0.3">
      <c r="A924" s="82" t="str">
        <f t="shared" si="28"/>
        <v>2016</v>
      </c>
      <c r="B924" s="72" t="s">
        <v>131</v>
      </c>
      <c r="C924" s="73" t="s">
        <v>132</v>
      </c>
      <c r="D924" s="74" t="str">
        <f t="shared" si="29"/>
        <v>abr/2016</v>
      </c>
      <c r="E924" s="53">
        <v>42489</v>
      </c>
      <c r="F924" s="75" t="s">
        <v>828</v>
      </c>
      <c r="G924" s="72"/>
      <c r="H924" s="49" t="s">
        <v>834</v>
      </c>
      <c r="I924" s="49" t="s">
        <v>830</v>
      </c>
      <c r="J924" s="76">
        <v>-137.07</v>
      </c>
      <c r="K924" s="83" t="str">
        <f>IFERROR(IFERROR(VLOOKUP(I924,'DE-PARA'!B:D,3,0),VLOOKUP(I924,'DE-PARA'!C:D,2,0)),"NÃO ENCONTRADO")</f>
        <v>Pessoal</v>
      </c>
      <c r="L924" s="50" t="str">
        <f>VLOOKUP(K924,'Base -Receita-Despesa'!$B:$P,1,FALSE)</f>
        <v>Pessoal</v>
      </c>
    </row>
    <row r="925" spans="1:12" ht="15" customHeight="1" x14ac:dyDescent="0.3">
      <c r="A925" s="82" t="str">
        <f t="shared" si="28"/>
        <v>2016</v>
      </c>
      <c r="B925" s="72" t="s">
        <v>131</v>
      </c>
      <c r="C925" s="73" t="s">
        <v>132</v>
      </c>
      <c r="D925" s="74" t="str">
        <f t="shared" si="29"/>
        <v>abr/2016</v>
      </c>
      <c r="E925" s="53">
        <v>42489</v>
      </c>
      <c r="F925" s="75" t="s">
        <v>828</v>
      </c>
      <c r="G925" s="72"/>
      <c r="H925" s="49" t="s">
        <v>835</v>
      </c>
      <c r="I925" s="49" t="s">
        <v>830</v>
      </c>
      <c r="J925" s="76">
        <v>-2064.66</v>
      </c>
      <c r="K925" s="83" t="str">
        <f>IFERROR(IFERROR(VLOOKUP(I925,'DE-PARA'!B:D,3,0),VLOOKUP(I925,'DE-PARA'!C:D,2,0)),"NÃO ENCONTRADO")</f>
        <v>Pessoal</v>
      </c>
      <c r="L925" s="50" t="str">
        <f>VLOOKUP(K925,'Base -Receita-Despesa'!$B:$P,1,FALSE)</f>
        <v>Pessoal</v>
      </c>
    </row>
    <row r="926" spans="1:12" ht="15" customHeight="1" x14ac:dyDescent="0.3">
      <c r="A926" s="82" t="str">
        <f t="shared" si="28"/>
        <v>2016</v>
      </c>
      <c r="B926" s="72" t="s">
        <v>131</v>
      </c>
      <c r="C926" s="73" t="s">
        <v>132</v>
      </c>
      <c r="D926" s="74" t="str">
        <f t="shared" si="29"/>
        <v>abr/2016</v>
      </c>
      <c r="E926" s="53">
        <v>42489</v>
      </c>
      <c r="F926" s="75" t="s">
        <v>828</v>
      </c>
      <c r="G926" s="72"/>
      <c r="H926" s="49" t="s">
        <v>836</v>
      </c>
      <c r="I926" s="49" t="s">
        <v>830</v>
      </c>
      <c r="J926" s="76">
        <v>-141.51</v>
      </c>
      <c r="K926" s="83" t="str">
        <f>IFERROR(IFERROR(VLOOKUP(I926,'DE-PARA'!B:D,3,0),VLOOKUP(I926,'DE-PARA'!C:D,2,0)),"NÃO ENCONTRADO")</f>
        <v>Pessoal</v>
      </c>
      <c r="L926" s="50" t="str">
        <f>VLOOKUP(K926,'Base -Receita-Despesa'!$B:$P,1,FALSE)</f>
        <v>Pessoal</v>
      </c>
    </row>
    <row r="927" spans="1:12" ht="15" customHeight="1" x14ac:dyDescent="0.3">
      <c r="A927" s="82" t="str">
        <f t="shared" si="28"/>
        <v>2016</v>
      </c>
      <c r="B927" s="72" t="s">
        <v>131</v>
      </c>
      <c r="C927" s="73" t="s">
        <v>132</v>
      </c>
      <c r="D927" s="74" t="str">
        <f t="shared" si="29"/>
        <v>abr/2016</v>
      </c>
      <c r="E927" s="53">
        <v>42489</v>
      </c>
      <c r="F927" s="75" t="s">
        <v>828</v>
      </c>
      <c r="G927" s="72"/>
      <c r="H927" s="49" t="s">
        <v>837</v>
      </c>
      <c r="I927" s="49" t="s">
        <v>830</v>
      </c>
      <c r="J927" s="76">
        <v>-419.19</v>
      </c>
      <c r="K927" s="83" t="str">
        <f>IFERROR(IFERROR(VLOOKUP(I927,'DE-PARA'!B:D,3,0),VLOOKUP(I927,'DE-PARA'!C:D,2,0)),"NÃO ENCONTRADO")</f>
        <v>Pessoal</v>
      </c>
      <c r="L927" s="50" t="str">
        <f>VLOOKUP(K927,'Base -Receita-Despesa'!$B:$P,1,FALSE)</f>
        <v>Pessoal</v>
      </c>
    </row>
    <row r="928" spans="1:12" ht="15" customHeight="1" x14ac:dyDescent="0.3">
      <c r="A928" s="82" t="str">
        <f t="shared" si="28"/>
        <v>2016</v>
      </c>
      <c r="B928" s="72" t="s">
        <v>131</v>
      </c>
      <c r="C928" s="73" t="s">
        <v>132</v>
      </c>
      <c r="D928" s="74" t="str">
        <f t="shared" si="29"/>
        <v>abr/2016</v>
      </c>
      <c r="E928" s="53">
        <v>42489</v>
      </c>
      <c r="F928" s="75" t="s">
        <v>828</v>
      </c>
      <c r="G928" s="72"/>
      <c r="H928" s="49" t="s">
        <v>838</v>
      </c>
      <c r="I928" s="49" t="s">
        <v>830</v>
      </c>
      <c r="J928" s="76">
        <v>-59.69</v>
      </c>
      <c r="K928" s="83" t="str">
        <f>IFERROR(IFERROR(VLOOKUP(I928,'DE-PARA'!B:D,3,0),VLOOKUP(I928,'DE-PARA'!C:D,2,0)),"NÃO ENCONTRADO")</f>
        <v>Pessoal</v>
      </c>
      <c r="L928" s="50" t="str">
        <f>VLOOKUP(K928,'Base -Receita-Despesa'!$B:$P,1,FALSE)</f>
        <v>Pessoal</v>
      </c>
    </row>
    <row r="929" spans="1:12" ht="15" customHeight="1" x14ac:dyDescent="0.3">
      <c r="A929" s="82" t="str">
        <f t="shared" si="28"/>
        <v>2016</v>
      </c>
      <c r="B929" s="72" t="s">
        <v>238</v>
      </c>
      <c r="C929" s="73" t="s">
        <v>132</v>
      </c>
      <c r="D929" s="74" t="str">
        <f t="shared" si="29"/>
        <v>abr/2016</v>
      </c>
      <c r="E929" s="53">
        <v>42490</v>
      </c>
      <c r="F929" s="75" t="s">
        <v>239</v>
      </c>
      <c r="G929" s="72"/>
      <c r="H929" s="49" t="s">
        <v>839</v>
      </c>
      <c r="I929" s="49" t="s">
        <v>240</v>
      </c>
      <c r="J929" s="76">
        <v>74.59</v>
      </c>
      <c r="K929" s="83" t="str">
        <f>IFERROR(IFERROR(VLOOKUP(I929,'DE-PARA'!B:D,3,0),VLOOKUP(I929,'DE-PARA'!C:D,2,0)),"NÃO ENCONTRADO")</f>
        <v>Rendimentos sobre Aplicações Financeiras</v>
      </c>
      <c r="L929" s="50" t="str">
        <f>VLOOKUP(K929,'Base -Receita-Despesa'!$B:$P,1,FALSE)</f>
        <v>Rendimentos sobre Aplicações Financeiras</v>
      </c>
    </row>
    <row r="930" spans="1:12" ht="15" customHeight="1" x14ac:dyDescent="0.3">
      <c r="A930" s="82" t="str">
        <f t="shared" si="28"/>
        <v>2016</v>
      </c>
      <c r="B930" s="72" t="s">
        <v>249</v>
      </c>
      <c r="C930" s="73" t="s">
        <v>132</v>
      </c>
      <c r="D930" s="74" t="str">
        <f t="shared" si="29"/>
        <v>abr/2016</v>
      </c>
      <c r="E930" s="53">
        <v>42490</v>
      </c>
      <c r="F930" s="75" t="s">
        <v>840</v>
      </c>
      <c r="G930" s="72"/>
      <c r="H930" s="49"/>
      <c r="I930" s="49" t="s">
        <v>129</v>
      </c>
      <c r="J930" s="76">
        <v>-39.130000000000003</v>
      </c>
      <c r="K930" s="83" t="str">
        <f>IFERROR(IFERROR(VLOOKUP(I930,'DE-PARA'!B:D,3,0),VLOOKUP(I930,'DE-PARA'!C:D,2,0)),"NÃO ENCONTRADO")</f>
        <v>Outras Saídas</v>
      </c>
      <c r="L930" s="50" t="str">
        <f>VLOOKUP(K930,'Base -Receita-Despesa'!$B:$P,1,FALSE)</f>
        <v>Outras Saídas</v>
      </c>
    </row>
    <row r="931" spans="1:12" ht="15" customHeight="1" x14ac:dyDescent="0.3">
      <c r="A931" s="82" t="str">
        <f t="shared" si="28"/>
        <v>2016</v>
      </c>
      <c r="B931" s="72" t="s">
        <v>131</v>
      </c>
      <c r="C931" s="73" t="s">
        <v>132</v>
      </c>
      <c r="D931" s="74" t="str">
        <f t="shared" si="29"/>
        <v>mai/2016</v>
      </c>
      <c r="E931" s="53">
        <v>42492</v>
      </c>
      <c r="F931" s="75" t="s">
        <v>841</v>
      </c>
      <c r="G931" s="72"/>
      <c r="H931" s="49" t="s">
        <v>414</v>
      </c>
      <c r="I931" s="49" t="s">
        <v>159</v>
      </c>
      <c r="J931" s="76">
        <v>-560.62</v>
      </c>
      <c r="K931" s="83" t="str">
        <f>IFERROR(IFERROR(VLOOKUP(I931,'DE-PARA'!B:D,3,0),VLOOKUP(I931,'DE-PARA'!C:D,2,0)),"NÃO ENCONTRADO")</f>
        <v>Materiais</v>
      </c>
      <c r="L931" s="50" t="str">
        <f>VLOOKUP(K931,'Base -Receita-Despesa'!$B:$P,1,FALSE)</f>
        <v>Materiais</v>
      </c>
    </row>
    <row r="932" spans="1:12" ht="15" customHeight="1" x14ac:dyDescent="0.3">
      <c r="A932" s="82" t="str">
        <f t="shared" si="28"/>
        <v>2016</v>
      </c>
      <c r="B932" s="72" t="s">
        <v>131</v>
      </c>
      <c r="C932" s="73" t="s">
        <v>132</v>
      </c>
      <c r="D932" s="74" t="str">
        <f t="shared" si="29"/>
        <v>mai/2016</v>
      </c>
      <c r="E932" s="53">
        <v>42492</v>
      </c>
      <c r="F932" s="75" t="s">
        <v>842</v>
      </c>
      <c r="G932" s="72"/>
      <c r="H932" s="49" t="s">
        <v>140</v>
      </c>
      <c r="I932" s="49" t="s">
        <v>138</v>
      </c>
      <c r="J932" s="76">
        <v>-561.6</v>
      </c>
      <c r="K932" s="83" t="str">
        <f>IFERROR(IFERROR(VLOOKUP(I932,'DE-PARA'!B:D,3,0),VLOOKUP(I932,'DE-PARA'!C:D,2,0)),"NÃO ENCONTRADO")</f>
        <v>Serviços</v>
      </c>
      <c r="L932" s="50" t="str">
        <f>VLOOKUP(K932,'Base -Receita-Despesa'!$B:$P,1,FALSE)</f>
        <v>Serviços</v>
      </c>
    </row>
    <row r="933" spans="1:12" ht="15" customHeight="1" x14ac:dyDescent="0.3">
      <c r="A933" s="82" t="str">
        <f t="shared" si="28"/>
        <v>2016</v>
      </c>
      <c r="B933" s="72" t="s">
        <v>131</v>
      </c>
      <c r="C933" s="73" t="s">
        <v>132</v>
      </c>
      <c r="D933" s="74" t="str">
        <f t="shared" si="29"/>
        <v>mai/2016</v>
      </c>
      <c r="E933" s="53">
        <v>42492</v>
      </c>
      <c r="F933" s="75" t="s">
        <v>843</v>
      </c>
      <c r="G933" s="72"/>
      <c r="H933" s="49" t="s">
        <v>152</v>
      </c>
      <c r="I933" s="49" t="s">
        <v>153</v>
      </c>
      <c r="J933" s="76">
        <v>-2000</v>
      </c>
      <c r="K933" s="83" t="str">
        <f>IFERROR(IFERROR(VLOOKUP(I933,'DE-PARA'!B:D,3,0),VLOOKUP(I933,'DE-PARA'!C:D,2,0)),"NÃO ENCONTRADO")</f>
        <v>Outras Saídas</v>
      </c>
      <c r="L933" s="50" t="str">
        <f>VLOOKUP(K933,'Base -Receita-Despesa'!$B:$P,1,FALSE)</f>
        <v>Outras Saídas</v>
      </c>
    </row>
    <row r="934" spans="1:12" ht="15" customHeight="1" x14ac:dyDescent="0.3">
      <c r="A934" s="82" t="str">
        <f t="shared" si="28"/>
        <v>2016</v>
      </c>
      <c r="B934" s="72" t="s">
        <v>131</v>
      </c>
      <c r="C934" s="73" t="s">
        <v>132</v>
      </c>
      <c r="D934" s="74" t="str">
        <f t="shared" si="29"/>
        <v>mai/2016</v>
      </c>
      <c r="E934" s="53">
        <v>42492</v>
      </c>
      <c r="F934" s="75" t="s">
        <v>844</v>
      </c>
      <c r="G934" s="72"/>
      <c r="H934" s="49" t="s">
        <v>235</v>
      </c>
      <c r="I934" s="49" t="s">
        <v>204</v>
      </c>
      <c r="J934" s="76">
        <v>-2500</v>
      </c>
      <c r="K934" s="83" t="str">
        <f>IFERROR(IFERROR(VLOOKUP(I934,'DE-PARA'!B:D,3,0),VLOOKUP(I934,'DE-PARA'!C:D,2,0)),"NÃO ENCONTRADO")</f>
        <v>Serviços</v>
      </c>
      <c r="L934" s="50" t="str">
        <f>VLOOKUP(K934,'Base -Receita-Despesa'!$B:$P,1,FALSE)</f>
        <v>Serviços</v>
      </c>
    </row>
    <row r="935" spans="1:12" ht="15" customHeight="1" x14ac:dyDescent="0.3">
      <c r="A935" s="82" t="str">
        <f t="shared" si="28"/>
        <v>2016</v>
      </c>
      <c r="B935" s="72" t="s">
        <v>131</v>
      </c>
      <c r="C935" s="73" t="s">
        <v>132</v>
      </c>
      <c r="D935" s="74" t="str">
        <f t="shared" si="29"/>
        <v>mai/2016</v>
      </c>
      <c r="E935" s="53">
        <v>42493</v>
      </c>
      <c r="F935" s="75" t="s">
        <v>845</v>
      </c>
      <c r="G935" s="72"/>
      <c r="H935" s="49" t="s">
        <v>588</v>
      </c>
      <c r="I935" s="49" t="s">
        <v>159</v>
      </c>
      <c r="J935" s="76">
        <v>-98.44</v>
      </c>
      <c r="K935" s="83" t="str">
        <f>IFERROR(IFERROR(VLOOKUP(I935,'DE-PARA'!B:D,3,0),VLOOKUP(I935,'DE-PARA'!C:D,2,0)),"NÃO ENCONTRADO")</f>
        <v>Materiais</v>
      </c>
      <c r="L935" s="50" t="str">
        <f>VLOOKUP(K935,'Base -Receita-Despesa'!$B:$P,1,FALSE)</f>
        <v>Materiais</v>
      </c>
    </row>
    <row r="936" spans="1:12" ht="15" customHeight="1" x14ac:dyDescent="0.3">
      <c r="A936" s="82" t="str">
        <f t="shared" si="28"/>
        <v>2016</v>
      </c>
      <c r="B936" s="72" t="s">
        <v>131</v>
      </c>
      <c r="C936" s="73" t="s">
        <v>132</v>
      </c>
      <c r="D936" s="74" t="str">
        <f t="shared" si="29"/>
        <v>mai/2016</v>
      </c>
      <c r="E936" s="53">
        <v>42494</v>
      </c>
      <c r="F936" s="75" t="s">
        <v>846</v>
      </c>
      <c r="G936" s="72"/>
      <c r="H936" s="49" t="s">
        <v>360</v>
      </c>
      <c r="I936" s="49" t="s">
        <v>111</v>
      </c>
      <c r="J936" s="76">
        <v>-1781</v>
      </c>
      <c r="K936" s="83" t="str">
        <f>IFERROR(IFERROR(VLOOKUP(I936,'DE-PARA'!B:D,3,0),VLOOKUP(I936,'DE-PARA'!C:D,2,0)),"NÃO ENCONTRADO")</f>
        <v>Serviços</v>
      </c>
      <c r="L936" s="50" t="str">
        <f>VLOOKUP(K936,'Base -Receita-Despesa'!$B:$P,1,FALSE)</f>
        <v>Serviços</v>
      </c>
    </row>
    <row r="937" spans="1:12" ht="15" customHeight="1" x14ac:dyDescent="0.3">
      <c r="A937" s="82" t="str">
        <f t="shared" si="28"/>
        <v>2016</v>
      </c>
      <c r="B937" s="72" t="s">
        <v>131</v>
      </c>
      <c r="C937" s="73" t="s">
        <v>132</v>
      </c>
      <c r="D937" s="74" t="str">
        <f t="shared" si="29"/>
        <v>mai/2016</v>
      </c>
      <c r="E937" s="53">
        <v>42494</v>
      </c>
      <c r="F937" s="75" t="s">
        <v>847</v>
      </c>
      <c r="G937" s="72"/>
      <c r="H937" s="49" t="s">
        <v>360</v>
      </c>
      <c r="I937" s="49" t="s">
        <v>111</v>
      </c>
      <c r="J937" s="76">
        <v>-10329.9</v>
      </c>
      <c r="K937" s="83" t="str">
        <f>IFERROR(IFERROR(VLOOKUP(I937,'DE-PARA'!B:D,3,0),VLOOKUP(I937,'DE-PARA'!C:D,2,0)),"NÃO ENCONTRADO")</f>
        <v>Serviços</v>
      </c>
      <c r="L937" s="50" t="str">
        <f>VLOOKUP(K937,'Base -Receita-Despesa'!$B:$P,1,FALSE)</f>
        <v>Serviços</v>
      </c>
    </row>
    <row r="938" spans="1:12" ht="15" customHeight="1" x14ac:dyDescent="0.3">
      <c r="A938" s="82" t="str">
        <f t="shared" si="28"/>
        <v>2016</v>
      </c>
      <c r="B938" s="72" t="s">
        <v>131</v>
      </c>
      <c r="C938" s="73" t="s">
        <v>132</v>
      </c>
      <c r="D938" s="74" t="str">
        <f t="shared" si="29"/>
        <v>mai/2016</v>
      </c>
      <c r="E938" s="53">
        <v>42494</v>
      </c>
      <c r="F938" s="75" t="s">
        <v>848</v>
      </c>
      <c r="G938" s="72"/>
      <c r="H938" s="49" t="s">
        <v>242</v>
      </c>
      <c r="I938" s="49" t="s">
        <v>138</v>
      </c>
      <c r="J938" s="76">
        <v>-70</v>
      </c>
      <c r="K938" s="83" t="str">
        <f>IFERROR(IFERROR(VLOOKUP(I938,'DE-PARA'!B:D,3,0),VLOOKUP(I938,'DE-PARA'!C:D,2,0)),"NÃO ENCONTRADO")</f>
        <v>Serviços</v>
      </c>
      <c r="L938" s="50" t="str">
        <f>VLOOKUP(K938,'Base -Receita-Despesa'!$B:$P,1,FALSE)</f>
        <v>Serviços</v>
      </c>
    </row>
    <row r="939" spans="1:12" ht="15" customHeight="1" x14ac:dyDescent="0.3">
      <c r="A939" s="82" t="str">
        <f t="shared" si="28"/>
        <v>2016</v>
      </c>
      <c r="B939" s="72" t="s">
        <v>131</v>
      </c>
      <c r="C939" s="73" t="s">
        <v>132</v>
      </c>
      <c r="D939" s="74" t="str">
        <f t="shared" si="29"/>
        <v>mai/2016</v>
      </c>
      <c r="E939" s="53">
        <v>42494</v>
      </c>
      <c r="F939" s="75" t="s">
        <v>849</v>
      </c>
      <c r="G939" s="72"/>
      <c r="H939" s="49" t="s">
        <v>246</v>
      </c>
      <c r="I939" s="49" t="s">
        <v>138</v>
      </c>
      <c r="J939" s="76">
        <v>-435.66</v>
      </c>
      <c r="K939" s="83" t="str">
        <f>IFERROR(IFERROR(VLOOKUP(I939,'DE-PARA'!B:D,3,0),VLOOKUP(I939,'DE-PARA'!C:D,2,0)),"NÃO ENCONTRADO")</f>
        <v>Serviços</v>
      </c>
      <c r="L939" s="50" t="str">
        <f>VLOOKUP(K939,'Base -Receita-Despesa'!$B:$P,1,FALSE)</f>
        <v>Serviços</v>
      </c>
    </row>
    <row r="940" spans="1:12" ht="15" customHeight="1" x14ac:dyDescent="0.3">
      <c r="A940" s="82" t="str">
        <f t="shared" si="28"/>
        <v>2016</v>
      </c>
      <c r="B940" s="72" t="s">
        <v>131</v>
      </c>
      <c r="C940" s="73" t="s">
        <v>132</v>
      </c>
      <c r="D940" s="74" t="str">
        <f t="shared" si="29"/>
        <v>mai/2016</v>
      </c>
      <c r="E940" s="53">
        <v>42494</v>
      </c>
      <c r="F940" s="75" t="s">
        <v>850</v>
      </c>
      <c r="G940" s="72"/>
      <c r="H940" s="49" t="s">
        <v>588</v>
      </c>
      <c r="I940" s="49" t="s">
        <v>159</v>
      </c>
      <c r="J940" s="76">
        <v>-406.63</v>
      </c>
      <c r="K940" s="83" t="str">
        <f>IFERROR(IFERROR(VLOOKUP(I940,'DE-PARA'!B:D,3,0),VLOOKUP(I940,'DE-PARA'!C:D,2,0)),"NÃO ENCONTRADO")</f>
        <v>Materiais</v>
      </c>
      <c r="L940" s="50" t="str">
        <f>VLOOKUP(K940,'Base -Receita-Despesa'!$B:$P,1,FALSE)</f>
        <v>Materiais</v>
      </c>
    </row>
    <row r="941" spans="1:12" ht="15" customHeight="1" x14ac:dyDescent="0.3">
      <c r="A941" s="82" t="str">
        <f t="shared" si="28"/>
        <v>2016</v>
      </c>
      <c r="B941" s="72" t="s">
        <v>131</v>
      </c>
      <c r="C941" s="73" t="s">
        <v>132</v>
      </c>
      <c r="D941" s="74" t="str">
        <f t="shared" si="29"/>
        <v>mai/2016</v>
      </c>
      <c r="E941" s="53">
        <v>42494</v>
      </c>
      <c r="F941" s="75" t="s">
        <v>199</v>
      </c>
      <c r="G941" s="72"/>
      <c r="H941" s="49" t="s">
        <v>383</v>
      </c>
      <c r="I941" s="49" t="s">
        <v>192</v>
      </c>
      <c r="J941" s="76">
        <v>-354.42</v>
      </c>
      <c r="K941" s="83" t="str">
        <f>IFERROR(IFERROR(VLOOKUP(I941,'DE-PARA'!B:D,3,0),VLOOKUP(I941,'DE-PARA'!C:D,2,0)),"NÃO ENCONTRADO")</f>
        <v>Materiais</v>
      </c>
      <c r="L941" s="50" t="str">
        <f>VLOOKUP(K941,'Base -Receita-Despesa'!$B:$P,1,FALSE)</f>
        <v>Materiais</v>
      </c>
    </row>
    <row r="942" spans="1:12" ht="15" customHeight="1" x14ac:dyDescent="0.3">
      <c r="A942" s="82" t="str">
        <f t="shared" si="28"/>
        <v>2016</v>
      </c>
      <c r="B942" s="72" t="s">
        <v>131</v>
      </c>
      <c r="C942" s="73" t="s">
        <v>132</v>
      </c>
      <c r="D942" s="74" t="str">
        <f t="shared" si="29"/>
        <v>mai/2016</v>
      </c>
      <c r="E942" s="53">
        <v>42495</v>
      </c>
      <c r="F942" s="75" t="s">
        <v>154</v>
      </c>
      <c r="G942" s="72"/>
      <c r="H942" s="49" t="s">
        <v>552</v>
      </c>
      <c r="I942" s="49" t="s">
        <v>1497</v>
      </c>
      <c r="J942" s="76">
        <v>300000</v>
      </c>
      <c r="K942" s="83" t="str">
        <f>IFERROR(IFERROR(VLOOKUP(I942,'DE-PARA'!B:D,3,0),VLOOKUP(I942,'DE-PARA'!C:D,2,0)),"NÃO ENCONTRADO")</f>
        <v>Repasses Contrato de Gestão</v>
      </c>
      <c r="L942" s="50" t="str">
        <f>VLOOKUP(K942,'Base -Receita-Despesa'!$B:$P,1,FALSE)</f>
        <v>Repasses Contrato de Gestão</v>
      </c>
    </row>
    <row r="943" spans="1:12" ht="15" customHeight="1" x14ac:dyDescent="0.3">
      <c r="A943" s="82" t="str">
        <f t="shared" si="28"/>
        <v>2016</v>
      </c>
      <c r="B943" s="72" t="s">
        <v>131</v>
      </c>
      <c r="C943" s="73" t="s">
        <v>132</v>
      </c>
      <c r="D943" s="74" t="str">
        <f t="shared" si="29"/>
        <v>mai/2016</v>
      </c>
      <c r="E943" s="53">
        <v>42495</v>
      </c>
      <c r="F943" s="75" t="s">
        <v>133</v>
      </c>
      <c r="G943" s="72"/>
      <c r="H943" s="49" t="s">
        <v>851</v>
      </c>
      <c r="I943" s="49" t="s">
        <v>135</v>
      </c>
      <c r="J943" s="76">
        <v>-308873.12</v>
      </c>
      <c r="K943" s="83" t="str">
        <f>IFERROR(IFERROR(VLOOKUP(I943,'DE-PARA'!B:D,3,0),VLOOKUP(I943,'DE-PARA'!C:D,2,0)),"NÃO ENCONTRADO")</f>
        <v>Pessoal</v>
      </c>
      <c r="L943" s="50" t="str">
        <f>VLOOKUP(K943,'Base -Receita-Despesa'!$B:$P,1,FALSE)</f>
        <v>Pessoal</v>
      </c>
    </row>
    <row r="944" spans="1:12" ht="15" customHeight="1" x14ac:dyDescent="0.3">
      <c r="A944" s="82" t="str">
        <f t="shared" si="28"/>
        <v>2016</v>
      </c>
      <c r="B944" s="72" t="s">
        <v>131</v>
      </c>
      <c r="C944" s="73" t="s">
        <v>132</v>
      </c>
      <c r="D944" s="74" t="str">
        <f t="shared" si="29"/>
        <v>mai/2016</v>
      </c>
      <c r="E944" s="53">
        <v>42496</v>
      </c>
      <c r="F944" s="75" t="s">
        <v>852</v>
      </c>
      <c r="G944" s="72"/>
      <c r="H944" s="49" t="s">
        <v>410</v>
      </c>
      <c r="I944" s="49" t="s">
        <v>112</v>
      </c>
      <c r="J944" s="76">
        <v>-60000</v>
      </c>
      <c r="K944" s="83" t="str">
        <f>IFERROR(IFERROR(VLOOKUP(I944,'DE-PARA'!B:D,3,0),VLOOKUP(I944,'DE-PARA'!C:D,2,0)),"NÃO ENCONTRADO")</f>
        <v>Serviços</v>
      </c>
      <c r="L944" s="50" t="str">
        <f>VLOOKUP(K944,'Base -Receita-Despesa'!$B:$P,1,FALSE)</f>
        <v>Serviços</v>
      </c>
    </row>
    <row r="945" spans="1:12" ht="15" customHeight="1" x14ac:dyDescent="0.3">
      <c r="A945" s="82" t="str">
        <f t="shared" si="28"/>
        <v>2016</v>
      </c>
      <c r="B945" s="72" t="s">
        <v>131</v>
      </c>
      <c r="C945" s="73" t="s">
        <v>132</v>
      </c>
      <c r="D945" s="74" t="str">
        <f t="shared" si="29"/>
        <v>mai/2016</v>
      </c>
      <c r="E945" s="53">
        <v>42496</v>
      </c>
      <c r="F945" s="75" t="s">
        <v>133</v>
      </c>
      <c r="G945" s="72"/>
      <c r="H945" s="49" t="s">
        <v>853</v>
      </c>
      <c r="I945" s="49" t="s">
        <v>135</v>
      </c>
      <c r="J945" s="76">
        <v>-1375.82</v>
      </c>
      <c r="K945" s="83" t="str">
        <f>IFERROR(IFERROR(VLOOKUP(I945,'DE-PARA'!B:D,3,0),VLOOKUP(I945,'DE-PARA'!C:D,2,0)),"NÃO ENCONTRADO")</f>
        <v>Pessoal</v>
      </c>
      <c r="L945" s="50" t="str">
        <f>VLOOKUP(K945,'Base -Receita-Despesa'!$B:$P,1,FALSE)</f>
        <v>Pessoal</v>
      </c>
    </row>
    <row r="946" spans="1:12" ht="15" customHeight="1" x14ac:dyDescent="0.3">
      <c r="A946" s="82" t="str">
        <f t="shared" si="28"/>
        <v>2016</v>
      </c>
      <c r="B946" s="72" t="s">
        <v>131</v>
      </c>
      <c r="C946" s="73" t="s">
        <v>132</v>
      </c>
      <c r="D946" s="74" t="str">
        <f t="shared" si="29"/>
        <v>mai/2016</v>
      </c>
      <c r="E946" s="53">
        <v>42496</v>
      </c>
      <c r="F946" s="75" t="s">
        <v>154</v>
      </c>
      <c r="G946" s="72"/>
      <c r="H946" s="49" t="s">
        <v>552</v>
      </c>
      <c r="I946" s="49" t="s">
        <v>1497</v>
      </c>
      <c r="J946" s="76">
        <v>43061.46</v>
      </c>
      <c r="K946" s="83" t="str">
        <f>IFERROR(IFERROR(VLOOKUP(I946,'DE-PARA'!B:D,3,0),VLOOKUP(I946,'DE-PARA'!C:D,2,0)),"NÃO ENCONTRADO")</f>
        <v>Repasses Contrato de Gestão</v>
      </c>
      <c r="L946" s="50" t="str">
        <f>VLOOKUP(K946,'Base -Receita-Despesa'!$B:$P,1,FALSE)</f>
        <v>Repasses Contrato de Gestão</v>
      </c>
    </row>
    <row r="947" spans="1:12" ht="15" customHeight="1" x14ac:dyDescent="0.3">
      <c r="A947" s="82" t="str">
        <f t="shared" si="28"/>
        <v>2016</v>
      </c>
      <c r="B947" s="72" t="s">
        <v>131</v>
      </c>
      <c r="C947" s="73" t="s">
        <v>132</v>
      </c>
      <c r="D947" s="74" t="str">
        <f t="shared" si="29"/>
        <v>mai/2016</v>
      </c>
      <c r="E947" s="53">
        <v>42496</v>
      </c>
      <c r="F947" s="75" t="s">
        <v>122</v>
      </c>
      <c r="G947" s="72"/>
      <c r="H947" s="49" t="s">
        <v>854</v>
      </c>
      <c r="I947" s="49" t="s">
        <v>122</v>
      </c>
      <c r="J947" s="76">
        <v>-33321.83</v>
      </c>
      <c r="K947" s="83" t="str">
        <f>IFERROR(IFERROR(VLOOKUP(I947,'DE-PARA'!B:D,3,0),VLOOKUP(I947,'DE-PARA'!C:D,2,0)),"NÃO ENCONTRADO")</f>
        <v>Encargos sobre Folha de Pagamento</v>
      </c>
      <c r="L947" s="50" t="str">
        <f>VLOOKUP(K947,'Base -Receita-Despesa'!$B:$P,1,FALSE)</f>
        <v>Encargos sobre Folha de Pagamento</v>
      </c>
    </row>
    <row r="948" spans="1:12" ht="15" customHeight="1" x14ac:dyDescent="0.3">
      <c r="A948" s="82" t="str">
        <f t="shared" si="28"/>
        <v>2016</v>
      </c>
      <c r="B948" s="72" t="s">
        <v>131</v>
      </c>
      <c r="C948" s="73" t="s">
        <v>132</v>
      </c>
      <c r="D948" s="74" t="str">
        <f t="shared" si="29"/>
        <v>mai/2016</v>
      </c>
      <c r="E948" s="53">
        <v>42496</v>
      </c>
      <c r="F948" s="75" t="s">
        <v>133</v>
      </c>
      <c r="G948" s="72"/>
      <c r="H948" s="49" t="s">
        <v>855</v>
      </c>
      <c r="I948" s="49" t="s">
        <v>135</v>
      </c>
      <c r="J948" s="76">
        <v>-1191.4000000000001</v>
      </c>
      <c r="K948" s="83" t="str">
        <f>IFERROR(IFERROR(VLOOKUP(I948,'DE-PARA'!B:D,3,0),VLOOKUP(I948,'DE-PARA'!C:D,2,0)),"NÃO ENCONTRADO")</f>
        <v>Pessoal</v>
      </c>
      <c r="L948" s="50" t="str">
        <f>VLOOKUP(K948,'Base -Receita-Despesa'!$B:$P,1,FALSE)</f>
        <v>Pessoal</v>
      </c>
    </row>
    <row r="949" spans="1:12" ht="15" customHeight="1" x14ac:dyDescent="0.3">
      <c r="A949" s="82" t="str">
        <f t="shared" si="28"/>
        <v>2016</v>
      </c>
      <c r="B949" s="72" t="s">
        <v>131</v>
      </c>
      <c r="C949" s="73" t="s">
        <v>132</v>
      </c>
      <c r="D949" s="74" t="str">
        <f t="shared" si="29"/>
        <v>mai/2016</v>
      </c>
      <c r="E949" s="53">
        <v>42496</v>
      </c>
      <c r="F949" s="75" t="s">
        <v>133</v>
      </c>
      <c r="G949" s="72"/>
      <c r="H949" s="49" t="s">
        <v>566</v>
      </c>
      <c r="I949" s="49" t="s">
        <v>135</v>
      </c>
      <c r="J949" s="76">
        <v>-1260.1500000000001</v>
      </c>
      <c r="K949" s="83" t="str">
        <f>IFERROR(IFERROR(VLOOKUP(I949,'DE-PARA'!B:D,3,0),VLOOKUP(I949,'DE-PARA'!C:D,2,0)),"NÃO ENCONTRADO")</f>
        <v>Pessoal</v>
      </c>
      <c r="L949" s="50" t="str">
        <f>VLOOKUP(K949,'Base -Receita-Despesa'!$B:$P,1,FALSE)</f>
        <v>Pessoal</v>
      </c>
    </row>
    <row r="950" spans="1:12" ht="15" customHeight="1" x14ac:dyDescent="0.3">
      <c r="A950" s="82" t="str">
        <f t="shared" si="28"/>
        <v>2016</v>
      </c>
      <c r="B950" s="72" t="s">
        <v>131</v>
      </c>
      <c r="C950" s="73" t="s">
        <v>132</v>
      </c>
      <c r="D950" s="74" t="str">
        <f t="shared" si="29"/>
        <v>mai/2016</v>
      </c>
      <c r="E950" s="53">
        <v>42496</v>
      </c>
      <c r="F950" s="75" t="s">
        <v>856</v>
      </c>
      <c r="G950" s="72"/>
      <c r="H950" s="49" t="s">
        <v>166</v>
      </c>
      <c r="I950" s="49" t="s">
        <v>167</v>
      </c>
      <c r="J950" s="76">
        <v>-1350.63</v>
      </c>
      <c r="K950" s="83" t="str">
        <f>IFERROR(IFERROR(VLOOKUP(I950,'DE-PARA'!B:D,3,0),VLOOKUP(I950,'DE-PARA'!C:D,2,0)),"NÃO ENCONTRADO")</f>
        <v>Materiais</v>
      </c>
      <c r="L950" s="50" t="str">
        <f>VLOOKUP(K950,'Base -Receita-Despesa'!$B:$P,1,FALSE)</f>
        <v>Materiais</v>
      </c>
    </row>
    <row r="951" spans="1:12" ht="15" customHeight="1" x14ac:dyDescent="0.3">
      <c r="A951" s="82" t="str">
        <f t="shared" si="28"/>
        <v>2016</v>
      </c>
      <c r="B951" s="72" t="s">
        <v>131</v>
      </c>
      <c r="C951" s="73" t="s">
        <v>132</v>
      </c>
      <c r="D951" s="74" t="str">
        <f t="shared" si="29"/>
        <v>mai/2016</v>
      </c>
      <c r="E951" s="53">
        <v>42496</v>
      </c>
      <c r="F951" s="75" t="s">
        <v>857</v>
      </c>
      <c r="G951" s="72"/>
      <c r="H951" s="49" t="s">
        <v>225</v>
      </c>
      <c r="I951" s="49" t="s">
        <v>110</v>
      </c>
      <c r="J951" s="76">
        <v>-9000</v>
      </c>
      <c r="K951" s="83" t="str">
        <f>IFERROR(IFERROR(VLOOKUP(I951,'DE-PARA'!B:D,3,0),VLOOKUP(I951,'DE-PARA'!C:D,2,0)),"NÃO ENCONTRADO")</f>
        <v>Serviços</v>
      </c>
      <c r="L951" s="50" t="str">
        <f>VLOOKUP(K951,'Base -Receita-Despesa'!$B:$P,1,FALSE)</f>
        <v>Serviços</v>
      </c>
    </row>
    <row r="952" spans="1:12" ht="15" customHeight="1" x14ac:dyDescent="0.3">
      <c r="A952" s="82" t="str">
        <f t="shared" si="28"/>
        <v>2016</v>
      </c>
      <c r="B952" s="72" t="s">
        <v>131</v>
      </c>
      <c r="C952" s="73" t="s">
        <v>132</v>
      </c>
      <c r="D952" s="74" t="str">
        <f t="shared" si="29"/>
        <v>mai/2016</v>
      </c>
      <c r="E952" s="53">
        <v>42496</v>
      </c>
      <c r="F952" s="75" t="s">
        <v>133</v>
      </c>
      <c r="G952" s="72"/>
      <c r="H952" s="49" t="s">
        <v>858</v>
      </c>
      <c r="I952" s="49" t="s">
        <v>135</v>
      </c>
      <c r="J952" s="76">
        <v>-1384.08</v>
      </c>
      <c r="K952" s="83" t="str">
        <f>IFERROR(IFERROR(VLOOKUP(I952,'DE-PARA'!B:D,3,0),VLOOKUP(I952,'DE-PARA'!C:D,2,0)),"NÃO ENCONTRADO")</f>
        <v>Pessoal</v>
      </c>
      <c r="L952" s="50" t="str">
        <f>VLOOKUP(K952,'Base -Receita-Despesa'!$B:$P,1,FALSE)</f>
        <v>Pessoal</v>
      </c>
    </row>
    <row r="953" spans="1:12" ht="15" customHeight="1" x14ac:dyDescent="0.3">
      <c r="A953" s="82" t="str">
        <f t="shared" si="28"/>
        <v>2016</v>
      </c>
      <c r="B953" s="72" t="s">
        <v>131</v>
      </c>
      <c r="C953" s="73" t="s">
        <v>132</v>
      </c>
      <c r="D953" s="74" t="str">
        <f t="shared" si="29"/>
        <v>mai/2016</v>
      </c>
      <c r="E953" s="53">
        <v>42496</v>
      </c>
      <c r="F953" s="75" t="s">
        <v>133</v>
      </c>
      <c r="G953" s="72"/>
      <c r="H953" s="49" t="s">
        <v>859</v>
      </c>
      <c r="I953" s="49" t="s">
        <v>135</v>
      </c>
      <c r="J953" s="76">
        <v>-1063.5899999999999</v>
      </c>
      <c r="K953" s="83" t="str">
        <f>IFERROR(IFERROR(VLOOKUP(I953,'DE-PARA'!B:D,3,0),VLOOKUP(I953,'DE-PARA'!C:D,2,0)),"NÃO ENCONTRADO")</f>
        <v>Pessoal</v>
      </c>
      <c r="L953" s="50" t="str">
        <f>VLOOKUP(K953,'Base -Receita-Despesa'!$B:$P,1,FALSE)</f>
        <v>Pessoal</v>
      </c>
    </row>
    <row r="954" spans="1:12" ht="15" customHeight="1" x14ac:dyDescent="0.3">
      <c r="A954" s="82" t="str">
        <f t="shared" si="28"/>
        <v>2016</v>
      </c>
      <c r="B954" s="72" t="s">
        <v>131</v>
      </c>
      <c r="C954" s="73" t="s">
        <v>132</v>
      </c>
      <c r="D954" s="74" t="str">
        <f t="shared" si="29"/>
        <v>mai/2016</v>
      </c>
      <c r="E954" s="53">
        <v>42499</v>
      </c>
      <c r="F954" s="75" t="s">
        <v>252</v>
      </c>
      <c r="G954" s="72"/>
      <c r="H954" s="49" t="s">
        <v>860</v>
      </c>
      <c r="I954" s="49" t="s">
        <v>168</v>
      </c>
      <c r="J954" s="76">
        <v>-1593.59</v>
      </c>
      <c r="K954" s="83" t="str">
        <f>IFERROR(IFERROR(VLOOKUP(I954,'DE-PARA'!B:D,3,0),VLOOKUP(I954,'DE-PARA'!C:D,2,0)),"NÃO ENCONTRADO")</f>
        <v>Pessoal</v>
      </c>
      <c r="L954" s="50" t="str">
        <f>VLOOKUP(K954,'Base -Receita-Despesa'!$B:$P,1,FALSE)</f>
        <v>Pessoal</v>
      </c>
    </row>
    <row r="955" spans="1:12" ht="15" customHeight="1" x14ac:dyDescent="0.3">
      <c r="A955" s="82" t="str">
        <f t="shared" si="28"/>
        <v>2016</v>
      </c>
      <c r="B955" s="72" t="s">
        <v>131</v>
      </c>
      <c r="C955" s="73" t="s">
        <v>132</v>
      </c>
      <c r="D955" s="74" t="str">
        <f t="shared" si="29"/>
        <v>mai/2016</v>
      </c>
      <c r="E955" s="53">
        <v>42499</v>
      </c>
      <c r="F955" s="75" t="s">
        <v>861</v>
      </c>
      <c r="G955" s="72"/>
      <c r="H955" s="49" t="s">
        <v>195</v>
      </c>
      <c r="I955" s="49" t="s">
        <v>192</v>
      </c>
      <c r="J955" s="76">
        <v>-750</v>
      </c>
      <c r="K955" s="83" t="str">
        <f>IFERROR(IFERROR(VLOOKUP(I955,'DE-PARA'!B:D,3,0),VLOOKUP(I955,'DE-PARA'!C:D,2,0)),"NÃO ENCONTRADO")</f>
        <v>Materiais</v>
      </c>
      <c r="L955" s="50" t="str">
        <f>VLOOKUP(K955,'Base -Receita-Despesa'!$B:$P,1,FALSE)</f>
        <v>Materiais</v>
      </c>
    </row>
    <row r="956" spans="1:12" ht="15" customHeight="1" x14ac:dyDescent="0.3">
      <c r="A956" s="82" t="str">
        <f t="shared" si="28"/>
        <v>2016</v>
      </c>
      <c r="B956" s="72" t="s">
        <v>131</v>
      </c>
      <c r="C956" s="73" t="s">
        <v>132</v>
      </c>
      <c r="D956" s="74" t="str">
        <f t="shared" si="29"/>
        <v>mai/2016</v>
      </c>
      <c r="E956" s="53">
        <v>42499</v>
      </c>
      <c r="F956" s="75" t="s">
        <v>252</v>
      </c>
      <c r="G956" s="72"/>
      <c r="H956" s="49" t="s">
        <v>862</v>
      </c>
      <c r="I956" s="49" t="s">
        <v>168</v>
      </c>
      <c r="J956" s="76">
        <v>-857.36</v>
      </c>
      <c r="K956" s="83" t="str">
        <f>IFERROR(IFERROR(VLOOKUP(I956,'DE-PARA'!B:D,3,0),VLOOKUP(I956,'DE-PARA'!C:D,2,0)),"NÃO ENCONTRADO")</f>
        <v>Pessoal</v>
      </c>
      <c r="L956" s="50" t="str">
        <f>VLOOKUP(K956,'Base -Receita-Despesa'!$B:$P,1,FALSE)</f>
        <v>Pessoal</v>
      </c>
    </row>
    <row r="957" spans="1:12" ht="15" customHeight="1" x14ac:dyDescent="0.3">
      <c r="A957" s="82" t="str">
        <f t="shared" si="28"/>
        <v>2016</v>
      </c>
      <c r="B957" s="72" t="s">
        <v>131</v>
      </c>
      <c r="C957" s="73" t="s">
        <v>132</v>
      </c>
      <c r="D957" s="74" t="str">
        <f t="shared" si="29"/>
        <v>mai/2016</v>
      </c>
      <c r="E957" s="53">
        <v>42499</v>
      </c>
      <c r="F957" s="75" t="s">
        <v>252</v>
      </c>
      <c r="G957" s="72"/>
      <c r="H957" s="49" t="s">
        <v>713</v>
      </c>
      <c r="I957" s="49" t="s">
        <v>168</v>
      </c>
      <c r="J957" s="76">
        <v>-1227.8599999999999</v>
      </c>
      <c r="K957" s="83" t="str">
        <f>IFERROR(IFERROR(VLOOKUP(I957,'DE-PARA'!B:D,3,0),VLOOKUP(I957,'DE-PARA'!C:D,2,0)),"NÃO ENCONTRADO")</f>
        <v>Pessoal</v>
      </c>
      <c r="L957" s="50" t="str">
        <f>VLOOKUP(K957,'Base -Receita-Despesa'!$B:$P,1,FALSE)</f>
        <v>Pessoal</v>
      </c>
    </row>
    <row r="958" spans="1:12" ht="15" customHeight="1" x14ac:dyDescent="0.3">
      <c r="A958" s="82" t="str">
        <f t="shared" si="28"/>
        <v>2016</v>
      </c>
      <c r="B958" s="72" t="s">
        <v>131</v>
      </c>
      <c r="C958" s="73" t="s">
        <v>132</v>
      </c>
      <c r="D958" s="74" t="str">
        <f t="shared" si="29"/>
        <v>mai/2016</v>
      </c>
      <c r="E958" s="53">
        <v>42499</v>
      </c>
      <c r="F958" s="75" t="s">
        <v>252</v>
      </c>
      <c r="G958" s="72"/>
      <c r="H958" s="49" t="s">
        <v>397</v>
      </c>
      <c r="I958" s="49" t="s">
        <v>168</v>
      </c>
      <c r="J958" s="76">
        <v>-5304.75</v>
      </c>
      <c r="K958" s="83" t="str">
        <f>IFERROR(IFERROR(VLOOKUP(I958,'DE-PARA'!B:D,3,0),VLOOKUP(I958,'DE-PARA'!C:D,2,0)),"NÃO ENCONTRADO")</f>
        <v>Pessoal</v>
      </c>
      <c r="L958" s="50" t="str">
        <f>VLOOKUP(K958,'Base -Receita-Despesa'!$B:$P,1,FALSE)</f>
        <v>Pessoal</v>
      </c>
    </row>
    <row r="959" spans="1:12" ht="15" customHeight="1" x14ac:dyDescent="0.3">
      <c r="A959" s="82" t="str">
        <f t="shared" si="28"/>
        <v>2016</v>
      </c>
      <c r="B959" s="72" t="s">
        <v>131</v>
      </c>
      <c r="C959" s="73" t="s">
        <v>132</v>
      </c>
      <c r="D959" s="74" t="str">
        <f t="shared" si="29"/>
        <v>mai/2016</v>
      </c>
      <c r="E959" s="53">
        <v>42499</v>
      </c>
      <c r="F959" s="75" t="s">
        <v>133</v>
      </c>
      <c r="G959" s="72"/>
      <c r="H959" s="49" t="s">
        <v>770</v>
      </c>
      <c r="I959" s="49" t="s">
        <v>135</v>
      </c>
      <c r="J959" s="76">
        <v>1063.5899999999999</v>
      </c>
      <c r="K959" s="83" t="str">
        <f>IFERROR(IFERROR(VLOOKUP(I959,'DE-PARA'!B:D,3,0),VLOOKUP(I959,'DE-PARA'!C:D,2,0)),"NÃO ENCONTRADO")</f>
        <v>Pessoal</v>
      </c>
      <c r="L959" s="50" t="str">
        <f>VLOOKUP(K959,'Base -Receita-Despesa'!$B:$P,1,FALSE)</f>
        <v>Pessoal</v>
      </c>
    </row>
    <row r="960" spans="1:12" ht="15" customHeight="1" x14ac:dyDescent="0.3">
      <c r="A960" s="82" t="str">
        <f t="shared" si="28"/>
        <v>2016</v>
      </c>
      <c r="B960" s="72" t="s">
        <v>131</v>
      </c>
      <c r="C960" s="73" t="s">
        <v>132</v>
      </c>
      <c r="D960" s="74" t="str">
        <f t="shared" si="29"/>
        <v>mai/2016</v>
      </c>
      <c r="E960" s="53">
        <v>42499</v>
      </c>
      <c r="F960" s="75" t="s">
        <v>840</v>
      </c>
      <c r="G960" s="72"/>
      <c r="H960" s="49" t="s">
        <v>863</v>
      </c>
      <c r="I960" s="49" t="s">
        <v>129</v>
      </c>
      <c r="J960" s="76">
        <v>-7.85</v>
      </c>
      <c r="K960" s="83" t="str">
        <f>IFERROR(IFERROR(VLOOKUP(I960,'DE-PARA'!B:D,3,0),VLOOKUP(I960,'DE-PARA'!C:D,2,0)),"NÃO ENCONTRADO")</f>
        <v>Outras Saídas</v>
      </c>
      <c r="L960" s="50" t="str">
        <f>VLOOKUP(K960,'Base -Receita-Despesa'!$B:$P,1,FALSE)</f>
        <v>Outras Saídas</v>
      </c>
    </row>
    <row r="961" spans="1:12" ht="15" customHeight="1" x14ac:dyDescent="0.3">
      <c r="A961" s="82" t="str">
        <f t="shared" si="28"/>
        <v>2016</v>
      </c>
      <c r="B961" s="72" t="s">
        <v>131</v>
      </c>
      <c r="C961" s="73" t="s">
        <v>132</v>
      </c>
      <c r="D961" s="74" t="str">
        <f t="shared" si="29"/>
        <v>mai/2016</v>
      </c>
      <c r="E961" s="53">
        <v>42499</v>
      </c>
      <c r="F961" s="75" t="s">
        <v>840</v>
      </c>
      <c r="G961" s="72"/>
      <c r="H961" s="49" t="s">
        <v>863</v>
      </c>
      <c r="I961" s="49" t="s">
        <v>129</v>
      </c>
      <c r="J961" s="76">
        <v>-7.85</v>
      </c>
      <c r="K961" s="83" t="str">
        <f>IFERROR(IFERROR(VLOOKUP(I961,'DE-PARA'!B:D,3,0),VLOOKUP(I961,'DE-PARA'!C:D,2,0)),"NÃO ENCONTRADO")</f>
        <v>Outras Saídas</v>
      </c>
      <c r="L961" s="50" t="str">
        <f>VLOOKUP(K961,'Base -Receita-Despesa'!$B:$P,1,FALSE)</f>
        <v>Outras Saídas</v>
      </c>
    </row>
    <row r="962" spans="1:12" ht="15" customHeight="1" x14ac:dyDescent="0.3">
      <c r="A962" s="82" t="str">
        <f t="shared" si="28"/>
        <v>2016</v>
      </c>
      <c r="B962" s="72" t="s">
        <v>131</v>
      </c>
      <c r="C962" s="73" t="s">
        <v>132</v>
      </c>
      <c r="D962" s="74" t="str">
        <f t="shared" si="29"/>
        <v>mai/2016</v>
      </c>
      <c r="E962" s="53">
        <v>42499</v>
      </c>
      <c r="F962" s="75" t="s">
        <v>840</v>
      </c>
      <c r="G962" s="72"/>
      <c r="H962" s="49" t="s">
        <v>863</v>
      </c>
      <c r="I962" s="49" t="s">
        <v>129</v>
      </c>
      <c r="J962" s="76">
        <v>-7.85</v>
      </c>
      <c r="K962" s="83" t="str">
        <f>IFERROR(IFERROR(VLOOKUP(I962,'DE-PARA'!B:D,3,0),VLOOKUP(I962,'DE-PARA'!C:D,2,0)),"NÃO ENCONTRADO")</f>
        <v>Outras Saídas</v>
      </c>
      <c r="L962" s="50" t="str">
        <f>VLOOKUP(K962,'Base -Receita-Despesa'!$B:$P,1,FALSE)</f>
        <v>Outras Saídas</v>
      </c>
    </row>
    <row r="963" spans="1:12" ht="15" customHeight="1" x14ac:dyDescent="0.3">
      <c r="A963" s="82" t="str">
        <f t="shared" si="28"/>
        <v>2016</v>
      </c>
      <c r="B963" s="72" t="s">
        <v>131</v>
      </c>
      <c r="C963" s="73" t="s">
        <v>132</v>
      </c>
      <c r="D963" s="74" t="str">
        <f t="shared" si="29"/>
        <v>mai/2016</v>
      </c>
      <c r="E963" s="53">
        <v>42499</v>
      </c>
      <c r="F963" s="75" t="s">
        <v>840</v>
      </c>
      <c r="G963" s="72"/>
      <c r="H963" s="49" t="s">
        <v>863</v>
      </c>
      <c r="I963" s="49" t="s">
        <v>129</v>
      </c>
      <c r="J963" s="76">
        <v>-7.85</v>
      </c>
      <c r="K963" s="83" t="str">
        <f>IFERROR(IFERROR(VLOOKUP(I963,'DE-PARA'!B:D,3,0),VLOOKUP(I963,'DE-PARA'!C:D,2,0)),"NÃO ENCONTRADO")</f>
        <v>Outras Saídas</v>
      </c>
      <c r="L963" s="50" t="str">
        <f>VLOOKUP(K963,'Base -Receita-Despesa'!$B:$P,1,FALSE)</f>
        <v>Outras Saídas</v>
      </c>
    </row>
    <row r="964" spans="1:12" ht="15" customHeight="1" x14ac:dyDescent="0.3">
      <c r="A964" s="82" t="str">
        <f t="shared" ref="A964:A1027" si="30">IF(K964="NÃO ENCONTRADO",0,RIGHT(D964,4))</f>
        <v>2016</v>
      </c>
      <c r="B964" s="72" t="s">
        <v>131</v>
      </c>
      <c r="C964" s="73" t="s">
        <v>132</v>
      </c>
      <c r="D964" s="74" t="str">
        <f t="shared" ref="D964:D1027" si="31">TEXT(E964,"mmm/aaaa")</f>
        <v>mai/2016</v>
      </c>
      <c r="E964" s="53">
        <v>42499</v>
      </c>
      <c r="F964" s="75" t="s">
        <v>840</v>
      </c>
      <c r="G964" s="72"/>
      <c r="H964" s="49" t="s">
        <v>863</v>
      </c>
      <c r="I964" s="49" t="s">
        <v>129</v>
      </c>
      <c r="J964" s="76">
        <v>-7.85</v>
      </c>
      <c r="K964" s="83" t="str">
        <f>IFERROR(IFERROR(VLOOKUP(I964,'DE-PARA'!B:D,3,0),VLOOKUP(I964,'DE-PARA'!C:D,2,0)),"NÃO ENCONTRADO")</f>
        <v>Outras Saídas</v>
      </c>
      <c r="L964" s="50" t="str">
        <f>VLOOKUP(K964,'Base -Receita-Despesa'!$B:$P,1,FALSE)</f>
        <v>Outras Saídas</v>
      </c>
    </row>
    <row r="965" spans="1:12" ht="15" customHeight="1" x14ac:dyDescent="0.3">
      <c r="A965" s="82" t="str">
        <f t="shared" si="30"/>
        <v>2016</v>
      </c>
      <c r="B965" s="72" t="s">
        <v>131</v>
      </c>
      <c r="C965" s="73" t="s">
        <v>132</v>
      </c>
      <c r="D965" s="74" t="str">
        <f t="shared" si="31"/>
        <v>mai/2016</v>
      </c>
      <c r="E965" s="53">
        <v>42499</v>
      </c>
      <c r="F965" s="75" t="s">
        <v>840</v>
      </c>
      <c r="G965" s="72"/>
      <c r="H965" s="49" t="s">
        <v>863</v>
      </c>
      <c r="I965" s="49" t="s">
        <v>129</v>
      </c>
      <c r="J965" s="76">
        <v>-7.85</v>
      </c>
      <c r="K965" s="83" t="str">
        <f>IFERROR(IFERROR(VLOOKUP(I965,'DE-PARA'!B:D,3,0),VLOOKUP(I965,'DE-PARA'!C:D,2,0)),"NÃO ENCONTRADO")</f>
        <v>Outras Saídas</v>
      </c>
      <c r="L965" s="50" t="str">
        <f>VLOOKUP(K965,'Base -Receita-Despesa'!$B:$P,1,FALSE)</f>
        <v>Outras Saídas</v>
      </c>
    </row>
    <row r="966" spans="1:12" ht="15" customHeight="1" x14ac:dyDescent="0.3">
      <c r="A966" s="82" t="str">
        <f t="shared" si="30"/>
        <v>2016</v>
      </c>
      <c r="B966" s="72" t="s">
        <v>131</v>
      </c>
      <c r="C966" s="73" t="s">
        <v>132</v>
      </c>
      <c r="D966" s="74" t="str">
        <f t="shared" si="31"/>
        <v>mai/2016</v>
      </c>
      <c r="E966" s="53">
        <v>42499</v>
      </c>
      <c r="F966" s="75" t="s">
        <v>122</v>
      </c>
      <c r="G966" s="72"/>
      <c r="H966" s="49" t="s">
        <v>331</v>
      </c>
      <c r="I966" s="49" t="s">
        <v>124</v>
      </c>
      <c r="J966" s="76">
        <v>-2038.38</v>
      </c>
      <c r="K966" s="83" t="str">
        <f>IFERROR(IFERROR(VLOOKUP(I966,'DE-PARA'!B:D,3,0),VLOOKUP(I966,'DE-PARA'!C:D,2,0)),"NÃO ENCONTRADO")</f>
        <v>Rescisões Trabalhistas</v>
      </c>
      <c r="L966" s="50" t="str">
        <f>VLOOKUP(K966,'Base -Receita-Despesa'!$B:$P,1,FALSE)</f>
        <v>Rescisões Trabalhistas</v>
      </c>
    </row>
    <row r="967" spans="1:12" ht="15" customHeight="1" x14ac:dyDescent="0.3">
      <c r="A967" s="82" t="str">
        <f t="shared" si="30"/>
        <v>2016</v>
      </c>
      <c r="B967" s="72" t="s">
        <v>131</v>
      </c>
      <c r="C967" s="73" t="s">
        <v>132</v>
      </c>
      <c r="D967" s="74" t="str">
        <f t="shared" si="31"/>
        <v>mai/2016</v>
      </c>
      <c r="E967" s="53">
        <v>42499</v>
      </c>
      <c r="F967" s="75" t="s">
        <v>243</v>
      </c>
      <c r="G967" s="72"/>
      <c r="H967" s="49" t="s">
        <v>331</v>
      </c>
      <c r="I967" s="49" t="s">
        <v>124</v>
      </c>
      <c r="J967" s="76">
        <v>-2917.91</v>
      </c>
      <c r="K967" s="83" t="str">
        <f>IFERROR(IFERROR(VLOOKUP(I967,'DE-PARA'!B:D,3,0),VLOOKUP(I967,'DE-PARA'!C:D,2,0)),"NÃO ENCONTRADO")</f>
        <v>Rescisões Trabalhistas</v>
      </c>
      <c r="L967" s="50" t="str">
        <f>VLOOKUP(K967,'Base -Receita-Despesa'!$B:$P,1,FALSE)</f>
        <v>Rescisões Trabalhistas</v>
      </c>
    </row>
    <row r="968" spans="1:12" ht="15" customHeight="1" x14ac:dyDescent="0.3">
      <c r="A968" s="82" t="str">
        <f t="shared" si="30"/>
        <v>2016</v>
      </c>
      <c r="B968" s="72" t="s">
        <v>131</v>
      </c>
      <c r="C968" s="73" t="s">
        <v>132</v>
      </c>
      <c r="D968" s="74" t="str">
        <f t="shared" si="31"/>
        <v>mai/2016</v>
      </c>
      <c r="E968" s="53">
        <v>42499</v>
      </c>
      <c r="F968" s="75" t="s">
        <v>122</v>
      </c>
      <c r="G968" s="72"/>
      <c r="H968" s="49" t="s">
        <v>864</v>
      </c>
      <c r="I968" s="49" t="s">
        <v>124</v>
      </c>
      <c r="J968" s="76">
        <v>-4186.01</v>
      </c>
      <c r="K968" s="83" t="str">
        <f>IFERROR(IFERROR(VLOOKUP(I968,'DE-PARA'!B:D,3,0),VLOOKUP(I968,'DE-PARA'!C:D,2,0)),"NÃO ENCONTRADO")</f>
        <v>Rescisões Trabalhistas</v>
      </c>
      <c r="L968" s="50" t="str">
        <f>VLOOKUP(K968,'Base -Receita-Despesa'!$B:$P,1,FALSE)</f>
        <v>Rescisões Trabalhistas</v>
      </c>
    </row>
    <row r="969" spans="1:12" ht="15" customHeight="1" x14ac:dyDescent="0.3">
      <c r="A969" s="82" t="str">
        <f t="shared" si="30"/>
        <v>2016</v>
      </c>
      <c r="B969" s="72" t="s">
        <v>131</v>
      </c>
      <c r="C969" s="73" t="s">
        <v>132</v>
      </c>
      <c r="D969" s="74" t="str">
        <f t="shared" si="31"/>
        <v>mai/2016</v>
      </c>
      <c r="E969" s="53">
        <v>42499</v>
      </c>
      <c r="F969" s="75" t="s">
        <v>243</v>
      </c>
      <c r="G969" s="72"/>
      <c r="H969" s="49" t="s">
        <v>864</v>
      </c>
      <c r="I969" s="49" t="s">
        <v>124</v>
      </c>
      <c r="J969" s="76">
        <v>-5469.15</v>
      </c>
      <c r="K969" s="83" t="str">
        <f>IFERROR(IFERROR(VLOOKUP(I969,'DE-PARA'!B:D,3,0),VLOOKUP(I969,'DE-PARA'!C:D,2,0)),"NÃO ENCONTRADO")</f>
        <v>Rescisões Trabalhistas</v>
      </c>
      <c r="L969" s="50" t="str">
        <f>VLOOKUP(K969,'Base -Receita-Despesa'!$B:$P,1,FALSE)</f>
        <v>Rescisões Trabalhistas</v>
      </c>
    </row>
    <row r="970" spans="1:12" ht="15" customHeight="1" x14ac:dyDescent="0.3">
      <c r="A970" s="82" t="str">
        <f t="shared" si="30"/>
        <v>2016</v>
      </c>
      <c r="B970" s="72" t="s">
        <v>131</v>
      </c>
      <c r="C970" s="73" t="s">
        <v>132</v>
      </c>
      <c r="D970" s="74" t="str">
        <f t="shared" si="31"/>
        <v>mai/2016</v>
      </c>
      <c r="E970" s="53">
        <v>42499</v>
      </c>
      <c r="F970" s="75" t="s">
        <v>133</v>
      </c>
      <c r="G970" s="72"/>
      <c r="H970" s="49" t="s">
        <v>865</v>
      </c>
      <c r="I970" s="49" t="s">
        <v>135</v>
      </c>
      <c r="J970" s="76">
        <v>-1413.64</v>
      </c>
      <c r="K970" s="83" t="str">
        <f>IFERROR(IFERROR(VLOOKUP(I970,'DE-PARA'!B:D,3,0),VLOOKUP(I970,'DE-PARA'!C:D,2,0)),"NÃO ENCONTRADO")</f>
        <v>Pessoal</v>
      </c>
      <c r="L970" s="50" t="str">
        <f>VLOOKUP(K970,'Base -Receita-Despesa'!$B:$P,1,FALSE)</f>
        <v>Pessoal</v>
      </c>
    </row>
    <row r="971" spans="1:12" ht="15" customHeight="1" x14ac:dyDescent="0.3">
      <c r="A971" s="82" t="str">
        <f t="shared" si="30"/>
        <v>2016</v>
      </c>
      <c r="B971" s="72" t="s">
        <v>131</v>
      </c>
      <c r="C971" s="73" t="s">
        <v>132</v>
      </c>
      <c r="D971" s="74" t="str">
        <f t="shared" si="31"/>
        <v>mai/2016</v>
      </c>
      <c r="E971" s="53">
        <v>42499</v>
      </c>
      <c r="F971" s="75" t="s">
        <v>252</v>
      </c>
      <c r="G971" s="72"/>
      <c r="H971" s="49" t="s">
        <v>866</v>
      </c>
      <c r="I971" s="49" t="s">
        <v>168</v>
      </c>
      <c r="J971" s="76">
        <v>-2519.91</v>
      </c>
      <c r="K971" s="83" t="str">
        <f>IFERROR(IFERROR(VLOOKUP(I971,'DE-PARA'!B:D,3,0),VLOOKUP(I971,'DE-PARA'!C:D,2,0)),"NÃO ENCONTRADO")</f>
        <v>Pessoal</v>
      </c>
      <c r="L971" s="50" t="str">
        <f>VLOOKUP(K971,'Base -Receita-Despesa'!$B:$P,1,FALSE)</f>
        <v>Pessoal</v>
      </c>
    </row>
    <row r="972" spans="1:12" ht="15" customHeight="1" x14ac:dyDescent="0.3">
      <c r="A972" s="82" t="str">
        <f t="shared" si="30"/>
        <v>2016</v>
      </c>
      <c r="B972" s="72" t="s">
        <v>131</v>
      </c>
      <c r="C972" s="73" t="s">
        <v>132</v>
      </c>
      <c r="D972" s="74" t="str">
        <f t="shared" si="31"/>
        <v>mai/2016</v>
      </c>
      <c r="E972" s="53">
        <v>42499</v>
      </c>
      <c r="F972" s="75" t="s">
        <v>146</v>
      </c>
      <c r="G972" s="72"/>
      <c r="H972" s="49" t="s">
        <v>147</v>
      </c>
      <c r="I972" s="49" t="s">
        <v>148</v>
      </c>
      <c r="J972" s="76">
        <v>-2532.2399999999998</v>
      </c>
      <c r="K972" s="83" t="str">
        <f>IFERROR(IFERROR(VLOOKUP(I972,'DE-PARA'!B:D,3,0),VLOOKUP(I972,'DE-PARA'!C:D,2,0)),"NÃO ENCONTRADO")</f>
        <v>Concessionárias (água, luz e telefone)</v>
      </c>
      <c r="L972" s="50" t="str">
        <f>VLOOKUP(K972,'Base -Receita-Despesa'!$B:$P,1,FALSE)</f>
        <v>Concessionárias (água, luz e telefone)</v>
      </c>
    </row>
    <row r="973" spans="1:12" ht="15" customHeight="1" x14ac:dyDescent="0.3">
      <c r="A973" s="82" t="str">
        <f t="shared" si="30"/>
        <v>2016</v>
      </c>
      <c r="B973" s="72" t="s">
        <v>131</v>
      </c>
      <c r="C973" s="73" t="s">
        <v>132</v>
      </c>
      <c r="D973" s="74" t="str">
        <f t="shared" si="31"/>
        <v>mai/2016</v>
      </c>
      <c r="E973" s="53">
        <v>42499</v>
      </c>
      <c r="F973" s="75" t="s">
        <v>133</v>
      </c>
      <c r="G973" s="72"/>
      <c r="H973" s="49" t="s">
        <v>867</v>
      </c>
      <c r="I973" s="49" t="s">
        <v>135</v>
      </c>
      <c r="J973" s="76">
        <v>-2867.77</v>
      </c>
      <c r="K973" s="83" t="str">
        <f>IFERROR(IFERROR(VLOOKUP(I973,'DE-PARA'!B:D,3,0),VLOOKUP(I973,'DE-PARA'!C:D,2,0)),"NÃO ENCONTRADO")</f>
        <v>Pessoal</v>
      </c>
      <c r="L973" s="50" t="str">
        <f>VLOOKUP(K973,'Base -Receita-Despesa'!$B:$P,1,FALSE)</f>
        <v>Pessoal</v>
      </c>
    </row>
    <row r="974" spans="1:12" ht="15" customHeight="1" x14ac:dyDescent="0.3">
      <c r="A974" s="82" t="str">
        <f t="shared" si="30"/>
        <v>2016</v>
      </c>
      <c r="B974" s="72" t="s">
        <v>131</v>
      </c>
      <c r="C974" s="73" t="s">
        <v>132</v>
      </c>
      <c r="D974" s="74" t="str">
        <f t="shared" si="31"/>
        <v>mai/2016</v>
      </c>
      <c r="E974" s="53">
        <v>42500</v>
      </c>
      <c r="F974" s="75" t="s">
        <v>840</v>
      </c>
      <c r="G974" s="72"/>
      <c r="H974" s="49" t="s">
        <v>251</v>
      </c>
      <c r="I974" s="49" t="s">
        <v>129</v>
      </c>
      <c r="J974" s="76">
        <v>-89.38</v>
      </c>
      <c r="K974" s="83" t="str">
        <f>IFERROR(IFERROR(VLOOKUP(I974,'DE-PARA'!B:D,3,0),VLOOKUP(I974,'DE-PARA'!C:D,2,0)),"NÃO ENCONTRADO")</f>
        <v>Outras Saídas</v>
      </c>
      <c r="L974" s="50" t="str">
        <f>VLOOKUP(K974,'Base -Receita-Despesa'!$B:$P,1,FALSE)</f>
        <v>Outras Saídas</v>
      </c>
    </row>
    <row r="975" spans="1:12" ht="15" customHeight="1" x14ac:dyDescent="0.3">
      <c r="A975" s="82" t="str">
        <f t="shared" si="30"/>
        <v>2016</v>
      </c>
      <c r="B975" s="72" t="s">
        <v>131</v>
      </c>
      <c r="C975" s="73" t="s">
        <v>132</v>
      </c>
      <c r="D975" s="74" t="str">
        <f t="shared" si="31"/>
        <v>mai/2016</v>
      </c>
      <c r="E975" s="53">
        <v>42500</v>
      </c>
      <c r="F975" s="75" t="s">
        <v>868</v>
      </c>
      <c r="G975" s="72"/>
      <c r="H975" s="49" t="s">
        <v>588</v>
      </c>
      <c r="I975" s="49" t="s">
        <v>159</v>
      </c>
      <c r="J975" s="76">
        <v>-2327.2600000000002</v>
      </c>
      <c r="K975" s="83" t="str">
        <f>IFERROR(IFERROR(VLOOKUP(I975,'DE-PARA'!B:D,3,0),VLOOKUP(I975,'DE-PARA'!C:D,2,0)),"NÃO ENCONTRADO")</f>
        <v>Materiais</v>
      </c>
      <c r="L975" s="50" t="str">
        <f>VLOOKUP(K975,'Base -Receita-Despesa'!$B:$P,1,FALSE)</f>
        <v>Materiais</v>
      </c>
    </row>
    <row r="976" spans="1:12" ht="15" customHeight="1" x14ac:dyDescent="0.3">
      <c r="A976" s="82" t="str">
        <f t="shared" si="30"/>
        <v>2016</v>
      </c>
      <c r="B976" s="72" t="s">
        <v>131</v>
      </c>
      <c r="C976" s="73" t="s">
        <v>132</v>
      </c>
      <c r="D976" s="74" t="str">
        <f t="shared" si="31"/>
        <v>mai/2016</v>
      </c>
      <c r="E976" s="53">
        <v>42500</v>
      </c>
      <c r="F976" s="75" t="s">
        <v>869</v>
      </c>
      <c r="G976" s="72"/>
      <c r="H976" s="49" t="s">
        <v>588</v>
      </c>
      <c r="I976" s="49" t="s">
        <v>159</v>
      </c>
      <c r="J976" s="76">
        <v>-5490.92</v>
      </c>
      <c r="K976" s="83" t="str">
        <f>IFERROR(IFERROR(VLOOKUP(I976,'DE-PARA'!B:D,3,0),VLOOKUP(I976,'DE-PARA'!C:D,2,0)),"NÃO ENCONTRADO")</f>
        <v>Materiais</v>
      </c>
      <c r="L976" s="50" t="str">
        <f>VLOOKUP(K976,'Base -Receita-Despesa'!$B:$P,1,FALSE)</f>
        <v>Materiais</v>
      </c>
    </row>
    <row r="977" spans="1:12" ht="15" customHeight="1" x14ac:dyDescent="0.3">
      <c r="A977" s="82" t="str">
        <f t="shared" si="30"/>
        <v>2016</v>
      </c>
      <c r="B977" s="72" t="s">
        <v>131</v>
      </c>
      <c r="C977" s="73" t="s">
        <v>132</v>
      </c>
      <c r="D977" s="74" t="str">
        <f t="shared" si="31"/>
        <v>mai/2016</v>
      </c>
      <c r="E977" s="53">
        <v>42501</v>
      </c>
      <c r="F977" s="75" t="s">
        <v>154</v>
      </c>
      <c r="G977" s="72"/>
      <c r="H977" s="49" t="s">
        <v>552</v>
      </c>
      <c r="I977" s="49" t="s">
        <v>1497</v>
      </c>
      <c r="J977" s="76">
        <v>500000</v>
      </c>
      <c r="K977" s="83" t="str">
        <f>IFERROR(IFERROR(VLOOKUP(I977,'DE-PARA'!B:D,3,0),VLOOKUP(I977,'DE-PARA'!C:D,2,0)),"NÃO ENCONTRADO")</f>
        <v>Repasses Contrato de Gestão</v>
      </c>
      <c r="L977" s="50" t="str">
        <f>VLOOKUP(K977,'Base -Receita-Despesa'!$B:$P,1,FALSE)</f>
        <v>Repasses Contrato de Gestão</v>
      </c>
    </row>
    <row r="978" spans="1:12" ht="15" customHeight="1" x14ac:dyDescent="0.3">
      <c r="A978" s="82" t="str">
        <f t="shared" si="30"/>
        <v>2016</v>
      </c>
      <c r="B978" s="72" t="s">
        <v>131</v>
      </c>
      <c r="C978" s="73" t="s">
        <v>132</v>
      </c>
      <c r="D978" s="74" t="str">
        <f t="shared" si="31"/>
        <v>mai/2016</v>
      </c>
      <c r="E978" s="53">
        <v>42501</v>
      </c>
      <c r="F978" s="75" t="s">
        <v>243</v>
      </c>
      <c r="G978" s="72"/>
      <c r="H978" s="49" t="s">
        <v>870</v>
      </c>
      <c r="I978" s="49" t="s">
        <v>124</v>
      </c>
      <c r="J978" s="76">
        <v>-334.54</v>
      </c>
      <c r="K978" s="83" t="str">
        <f>IFERROR(IFERROR(VLOOKUP(I978,'DE-PARA'!B:D,3,0),VLOOKUP(I978,'DE-PARA'!C:D,2,0)),"NÃO ENCONTRADO")</f>
        <v>Rescisões Trabalhistas</v>
      </c>
      <c r="L978" s="50" t="str">
        <f>VLOOKUP(K978,'Base -Receita-Despesa'!$B:$P,1,FALSE)</f>
        <v>Rescisões Trabalhistas</v>
      </c>
    </row>
    <row r="979" spans="1:12" ht="15" customHeight="1" x14ac:dyDescent="0.3">
      <c r="A979" s="82" t="str">
        <f t="shared" si="30"/>
        <v>2016</v>
      </c>
      <c r="B979" s="72" t="s">
        <v>131</v>
      </c>
      <c r="C979" s="73" t="s">
        <v>132</v>
      </c>
      <c r="D979" s="74" t="str">
        <f t="shared" si="31"/>
        <v>mai/2016</v>
      </c>
      <c r="E979" s="53">
        <v>42501</v>
      </c>
      <c r="F979" s="75" t="s">
        <v>871</v>
      </c>
      <c r="G979" s="72"/>
      <c r="H979" s="49" t="s">
        <v>198</v>
      </c>
      <c r="I979" s="49" t="s">
        <v>603</v>
      </c>
      <c r="J979" s="76">
        <v>-1029.5</v>
      </c>
      <c r="K979" s="83" t="str">
        <f>IFERROR(IFERROR(VLOOKUP(I979,'DE-PARA'!B:D,3,0),VLOOKUP(I979,'DE-PARA'!C:D,2,0)),"NÃO ENCONTRADO")</f>
        <v>Serviços</v>
      </c>
      <c r="L979" s="50" t="str">
        <f>VLOOKUP(K979,'Base -Receita-Despesa'!$B:$P,1,FALSE)</f>
        <v>Serviços</v>
      </c>
    </row>
    <row r="980" spans="1:12" ht="15" customHeight="1" x14ac:dyDescent="0.3">
      <c r="A980" s="82" t="str">
        <f t="shared" si="30"/>
        <v>2016</v>
      </c>
      <c r="B980" s="72" t="s">
        <v>131</v>
      </c>
      <c r="C980" s="73" t="s">
        <v>132</v>
      </c>
      <c r="D980" s="74" t="str">
        <f t="shared" si="31"/>
        <v>mai/2016</v>
      </c>
      <c r="E980" s="53">
        <v>42501</v>
      </c>
      <c r="F980" s="75" t="s">
        <v>872</v>
      </c>
      <c r="G980" s="72"/>
      <c r="H980" s="49" t="s">
        <v>198</v>
      </c>
      <c r="I980" s="49" t="s">
        <v>603</v>
      </c>
      <c r="J980" s="76">
        <v>-380</v>
      </c>
      <c r="K980" s="83" t="str">
        <f>IFERROR(IFERROR(VLOOKUP(I980,'DE-PARA'!B:D,3,0),VLOOKUP(I980,'DE-PARA'!C:D,2,0)),"NÃO ENCONTRADO")</f>
        <v>Serviços</v>
      </c>
      <c r="L980" s="50" t="str">
        <f>VLOOKUP(K980,'Base -Receita-Despesa'!$B:$P,1,FALSE)</f>
        <v>Serviços</v>
      </c>
    </row>
    <row r="981" spans="1:12" ht="15" customHeight="1" x14ac:dyDescent="0.3">
      <c r="A981" s="82" t="str">
        <f t="shared" si="30"/>
        <v>2016</v>
      </c>
      <c r="B981" s="72" t="s">
        <v>131</v>
      </c>
      <c r="C981" s="73" t="s">
        <v>132</v>
      </c>
      <c r="D981" s="74" t="str">
        <f t="shared" si="31"/>
        <v>mai/2016</v>
      </c>
      <c r="E981" s="53">
        <v>42501</v>
      </c>
      <c r="F981" s="75" t="s">
        <v>873</v>
      </c>
      <c r="G981" s="72"/>
      <c r="H981" s="49" t="s">
        <v>198</v>
      </c>
      <c r="I981" s="49" t="s">
        <v>603</v>
      </c>
      <c r="J981" s="76">
        <v>-37247.26</v>
      </c>
      <c r="K981" s="83" t="str">
        <f>IFERROR(IFERROR(VLOOKUP(I981,'DE-PARA'!B:D,3,0),VLOOKUP(I981,'DE-PARA'!C:D,2,0)),"NÃO ENCONTRADO")</f>
        <v>Serviços</v>
      </c>
      <c r="L981" s="50" t="str">
        <f>VLOOKUP(K981,'Base -Receita-Despesa'!$B:$P,1,FALSE)</f>
        <v>Serviços</v>
      </c>
    </row>
    <row r="982" spans="1:12" ht="15" customHeight="1" x14ac:dyDescent="0.3">
      <c r="A982" s="82" t="str">
        <f t="shared" si="30"/>
        <v>2016</v>
      </c>
      <c r="B982" s="72" t="s">
        <v>131</v>
      </c>
      <c r="C982" s="73" t="s">
        <v>132</v>
      </c>
      <c r="D982" s="74" t="str">
        <f t="shared" si="31"/>
        <v>mai/2016</v>
      </c>
      <c r="E982" s="53">
        <v>42501</v>
      </c>
      <c r="F982" s="75" t="s">
        <v>840</v>
      </c>
      <c r="G982" s="72"/>
      <c r="H982" s="49" t="s">
        <v>863</v>
      </c>
      <c r="I982" s="49" t="s">
        <v>129</v>
      </c>
      <c r="J982" s="76">
        <v>-7.85</v>
      </c>
      <c r="K982" s="83" t="str">
        <f>IFERROR(IFERROR(VLOOKUP(I982,'DE-PARA'!B:D,3,0),VLOOKUP(I982,'DE-PARA'!C:D,2,0)),"NÃO ENCONTRADO")</f>
        <v>Outras Saídas</v>
      </c>
      <c r="L982" s="50" t="str">
        <f>VLOOKUP(K982,'Base -Receita-Despesa'!$B:$P,1,FALSE)</f>
        <v>Outras Saídas</v>
      </c>
    </row>
    <row r="983" spans="1:12" ht="15" customHeight="1" x14ac:dyDescent="0.3">
      <c r="A983" s="82" t="str">
        <f t="shared" si="30"/>
        <v>2016</v>
      </c>
      <c r="B983" s="72" t="s">
        <v>131</v>
      </c>
      <c r="C983" s="73" t="s">
        <v>132</v>
      </c>
      <c r="D983" s="74" t="str">
        <f t="shared" si="31"/>
        <v>mai/2016</v>
      </c>
      <c r="E983" s="53">
        <v>42501</v>
      </c>
      <c r="F983" s="75" t="s">
        <v>840</v>
      </c>
      <c r="G983" s="72"/>
      <c r="H983" s="49" t="s">
        <v>863</v>
      </c>
      <c r="I983" s="49" t="s">
        <v>129</v>
      </c>
      <c r="J983" s="76">
        <v>-7.85</v>
      </c>
      <c r="K983" s="83" t="str">
        <f>IFERROR(IFERROR(VLOOKUP(I983,'DE-PARA'!B:D,3,0),VLOOKUP(I983,'DE-PARA'!C:D,2,0)),"NÃO ENCONTRADO")</f>
        <v>Outras Saídas</v>
      </c>
      <c r="L983" s="50" t="str">
        <f>VLOOKUP(K983,'Base -Receita-Despesa'!$B:$P,1,FALSE)</f>
        <v>Outras Saídas</v>
      </c>
    </row>
    <row r="984" spans="1:12" ht="15" customHeight="1" x14ac:dyDescent="0.3">
      <c r="A984" s="82" t="str">
        <f t="shared" si="30"/>
        <v>2016</v>
      </c>
      <c r="B984" s="72" t="s">
        <v>131</v>
      </c>
      <c r="C984" s="73" t="s">
        <v>132</v>
      </c>
      <c r="D984" s="74" t="str">
        <f t="shared" si="31"/>
        <v>mai/2016</v>
      </c>
      <c r="E984" s="53">
        <v>42501</v>
      </c>
      <c r="F984" s="75" t="s">
        <v>840</v>
      </c>
      <c r="G984" s="72"/>
      <c r="H984" s="49" t="s">
        <v>863</v>
      </c>
      <c r="I984" s="49" t="s">
        <v>129</v>
      </c>
      <c r="J984" s="76">
        <v>-7.85</v>
      </c>
      <c r="K984" s="83" t="str">
        <f>IFERROR(IFERROR(VLOOKUP(I984,'DE-PARA'!B:D,3,0),VLOOKUP(I984,'DE-PARA'!C:D,2,0)),"NÃO ENCONTRADO")</f>
        <v>Outras Saídas</v>
      </c>
      <c r="L984" s="50" t="str">
        <f>VLOOKUP(K984,'Base -Receita-Despesa'!$B:$P,1,FALSE)</f>
        <v>Outras Saídas</v>
      </c>
    </row>
    <row r="985" spans="1:12" ht="15" customHeight="1" x14ac:dyDescent="0.3">
      <c r="A985" s="82" t="str">
        <f t="shared" si="30"/>
        <v>2016</v>
      </c>
      <c r="B985" s="72" t="s">
        <v>131</v>
      </c>
      <c r="C985" s="73" t="s">
        <v>132</v>
      </c>
      <c r="D985" s="74" t="str">
        <f t="shared" si="31"/>
        <v>mai/2016</v>
      </c>
      <c r="E985" s="53">
        <v>42501</v>
      </c>
      <c r="F985" s="75" t="s">
        <v>840</v>
      </c>
      <c r="G985" s="72"/>
      <c r="H985" s="49" t="s">
        <v>863</v>
      </c>
      <c r="I985" s="49" t="s">
        <v>129</v>
      </c>
      <c r="J985" s="76">
        <v>-7.85</v>
      </c>
      <c r="K985" s="83" t="str">
        <f>IFERROR(IFERROR(VLOOKUP(I985,'DE-PARA'!B:D,3,0),VLOOKUP(I985,'DE-PARA'!C:D,2,0)),"NÃO ENCONTRADO")</f>
        <v>Outras Saídas</v>
      </c>
      <c r="L985" s="50" t="str">
        <f>VLOOKUP(K985,'Base -Receita-Despesa'!$B:$P,1,FALSE)</f>
        <v>Outras Saídas</v>
      </c>
    </row>
    <row r="986" spans="1:12" ht="15" customHeight="1" x14ac:dyDescent="0.3">
      <c r="A986" s="82" t="str">
        <f t="shared" si="30"/>
        <v>2016</v>
      </c>
      <c r="B986" s="72" t="s">
        <v>131</v>
      </c>
      <c r="C986" s="73" t="s">
        <v>132</v>
      </c>
      <c r="D986" s="74" t="str">
        <f t="shared" si="31"/>
        <v>mai/2016</v>
      </c>
      <c r="E986" s="53">
        <v>42501</v>
      </c>
      <c r="F986" s="75" t="s">
        <v>840</v>
      </c>
      <c r="G986" s="72"/>
      <c r="H986" s="49" t="s">
        <v>863</v>
      </c>
      <c r="I986" s="49" t="s">
        <v>129</v>
      </c>
      <c r="J986" s="76">
        <v>-7.85</v>
      </c>
      <c r="K986" s="83" t="str">
        <f>IFERROR(IFERROR(VLOOKUP(I986,'DE-PARA'!B:D,3,0),VLOOKUP(I986,'DE-PARA'!C:D,2,0)),"NÃO ENCONTRADO")</f>
        <v>Outras Saídas</v>
      </c>
      <c r="L986" s="50" t="str">
        <f>VLOOKUP(K986,'Base -Receita-Despesa'!$B:$P,1,FALSE)</f>
        <v>Outras Saídas</v>
      </c>
    </row>
    <row r="987" spans="1:12" ht="15" customHeight="1" x14ac:dyDescent="0.3">
      <c r="A987" s="82" t="str">
        <f t="shared" si="30"/>
        <v>2016</v>
      </c>
      <c r="B987" s="72" t="s">
        <v>131</v>
      </c>
      <c r="C987" s="73" t="s">
        <v>132</v>
      </c>
      <c r="D987" s="74" t="str">
        <f t="shared" si="31"/>
        <v>mai/2016</v>
      </c>
      <c r="E987" s="53">
        <v>42501</v>
      </c>
      <c r="F987" s="75" t="s">
        <v>840</v>
      </c>
      <c r="G987" s="72"/>
      <c r="H987" s="49" t="s">
        <v>863</v>
      </c>
      <c r="I987" s="49" t="s">
        <v>129</v>
      </c>
      <c r="J987" s="76">
        <v>-7.85</v>
      </c>
      <c r="K987" s="83" t="str">
        <f>IFERROR(IFERROR(VLOOKUP(I987,'DE-PARA'!B:D,3,0),VLOOKUP(I987,'DE-PARA'!C:D,2,0)),"NÃO ENCONTRADO")</f>
        <v>Outras Saídas</v>
      </c>
      <c r="L987" s="50" t="str">
        <f>VLOOKUP(K987,'Base -Receita-Despesa'!$B:$P,1,FALSE)</f>
        <v>Outras Saídas</v>
      </c>
    </row>
    <row r="988" spans="1:12" ht="15" customHeight="1" x14ac:dyDescent="0.3">
      <c r="A988" s="82" t="str">
        <f t="shared" si="30"/>
        <v>2016</v>
      </c>
      <c r="B988" s="72" t="s">
        <v>131</v>
      </c>
      <c r="C988" s="73" t="s">
        <v>132</v>
      </c>
      <c r="D988" s="74" t="str">
        <f t="shared" si="31"/>
        <v>mai/2016</v>
      </c>
      <c r="E988" s="53">
        <v>42501</v>
      </c>
      <c r="F988" s="75" t="s">
        <v>840</v>
      </c>
      <c r="G988" s="72"/>
      <c r="H988" s="49" t="s">
        <v>863</v>
      </c>
      <c r="I988" s="49" t="s">
        <v>129</v>
      </c>
      <c r="J988" s="76">
        <v>-7.85</v>
      </c>
      <c r="K988" s="83" t="str">
        <f>IFERROR(IFERROR(VLOOKUP(I988,'DE-PARA'!B:D,3,0),VLOOKUP(I988,'DE-PARA'!C:D,2,0)),"NÃO ENCONTRADO")</f>
        <v>Outras Saídas</v>
      </c>
      <c r="L988" s="50" t="str">
        <f>VLOOKUP(K988,'Base -Receita-Despesa'!$B:$P,1,FALSE)</f>
        <v>Outras Saídas</v>
      </c>
    </row>
    <row r="989" spans="1:12" ht="15" customHeight="1" x14ac:dyDescent="0.3">
      <c r="A989" s="82" t="str">
        <f t="shared" si="30"/>
        <v>2016</v>
      </c>
      <c r="B989" s="72" t="s">
        <v>131</v>
      </c>
      <c r="C989" s="73" t="s">
        <v>132</v>
      </c>
      <c r="D989" s="74" t="str">
        <f t="shared" si="31"/>
        <v>mai/2016</v>
      </c>
      <c r="E989" s="53">
        <v>42501</v>
      </c>
      <c r="F989" s="75" t="s">
        <v>840</v>
      </c>
      <c r="G989" s="72"/>
      <c r="H989" s="49" t="s">
        <v>863</v>
      </c>
      <c r="I989" s="49" t="s">
        <v>129</v>
      </c>
      <c r="J989" s="76">
        <v>-7.85</v>
      </c>
      <c r="K989" s="83" t="str">
        <f>IFERROR(IFERROR(VLOOKUP(I989,'DE-PARA'!B:D,3,0),VLOOKUP(I989,'DE-PARA'!C:D,2,0)),"NÃO ENCONTRADO")</f>
        <v>Outras Saídas</v>
      </c>
      <c r="L989" s="50" t="str">
        <f>VLOOKUP(K989,'Base -Receita-Despesa'!$B:$P,1,FALSE)</f>
        <v>Outras Saídas</v>
      </c>
    </row>
    <row r="990" spans="1:12" ht="15" customHeight="1" x14ac:dyDescent="0.3">
      <c r="A990" s="82" t="str">
        <f t="shared" si="30"/>
        <v>2016</v>
      </c>
      <c r="B990" s="72" t="s">
        <v>131</v>
      </c>
      <c r="C990" s="73" t="s">
        <v>132</v>
      </c>
      <c r="D990" s="74" t="str">
        <f t="shared" si="31"/>
        <v>mai/2016</v>
      </c>
      <c r="E990" s="53">
        <v>42501</v>
      </c>
      <c r="F990" s="75" t="s">
        <v>874</v>
      </c>
      <c r="G990" s="72"/>
      <c r="H990" s="49" t="s">
        <v>220</v>
      </c>
      <c r="I990" s="49" t="s">
        <v>180</v>
      </c>
      <c r="J990" s="76">
        <v>-10000</v>
      </c>
      <c r="K990" s="83" t="str">
        <f>IFERROR(IFERROR(VLOOKUP(I990,'DE-PARA'!B:D,3,0),VLOOKUP(I990,'DE-PARA'!C:D,2,0)),"NÃO ENCONTRADO")</f>
        <v>Serviços</v>
      </c>
      <c r="L990" s="50" t="str">
        <f>VLOOKUP(K990,'Base -Receita-Despesa'!$B:$P,1,FALSE)</f>
        <v>Serviços</v>
      </c>
    </row>
    <row r="991" spans="1:12" ht="15" customHeight="1" x14ac:dyDescent="0.3">
      <c r="A991" s="82" t="str">
        <f t="shared" si="30"/>
        <v>2016</v>
      </c>
      <c r="B991" s="72" t="s">
        <v>131</v>
      </c>
      <c r="C991" s="73" t="s">
        <v>132</v>
      </c>
      <c r="D991" s="74" t="str">
        <f t="shared" si="31"/>
        <v>mai/2016</v>
      </c>
      <c r="E991" s="53">
        <v>42501</v>
      </c>
      <c r="F991" s="75" t="s">
        <v>875</v>
      </c>
      <c r="G991" s="72"/>
      <c r="H991" s="49" t="s">
        <v>201</v>
      </c>
      <c r="I991" s="49" t="s">
        <v>110</v>
      </c>
      <c r="J991" s="76">
        <v>-3802</v>
      </c>
      <c r="K991" s="83" t="str">
        <f>IFERROR(IFERROR(VLOOKUP(I991,'DE-PARA'!B:D,3,0),VLOOKUP(I991,'DE-PARA'!C:D,2,0)),"NÃO ENCONTRADO")</f>
        <v>Serviços</v>
      </c>
      <c r="L991" s="50" t="str">
        <f>VLOOKUP(K991,'Base -Receita-Despesa'!$B:$P,1,FALSE)</f>
        <v>Serviços</v>
      </c>
    </row>
    <row r="992" spans="1:12" ht="15" customHeight="1" x14ac:dyDescent="0.3">
      <c r="A992" s="82" t="str">
        <f t="shared" si="30"/>
        <v>2016</v>
      </c>
      <c r="B992" s="72" t="s">
        <v>131</v>
      </c>
      <c r="C992" s="73" t="s">
        <v>132</v>
      </c>
      <c r="D992" s="74" t="str">
        <f t="shared" si="31"/>
        <v>mai/2016</v>
      </c>
      <c r="E992" s="53">
        <v>42501</v>
      </c>
      <c r="F992" s="75" t="s">
        <v>876</v>
      </c>
      <c r="G992" s="72"/>
      <c r="H992" s="49" t="s">
        <v>178</v>
      </c>
      <c r="I992" s="49" t="s">
        <v>110</v>
      </c>
      <c r="J992" s="76">
        <v>-2252.4</v>
      </c>
      <c r="K992" s="83" t="str">
        <f>IFERROR(IFERROR(VLOOKUP(I992,'DE-PARA'!B:D,3,0),VLOOKUP(I992,'DE-PARA'!C:D,2,0)),"NÃO ENCONTRADO")</f>
        <v>Serviços</v>
      </c>
      <c r="L992" s="50" t="str">
        <f>VLOOKUP(K992,'Base -Receita-Despesa'!$B:$P,1,FALSE)</f>
        <v>Serviços</v>
      </c>
    </row>
    <row r="993" spans="1:12" ht="15" customHeight="1" x14ac:dyDescent="0.3">
      <c r="A993" s="82" t="str">
        <f t="shared" si="30"/>
        <v>2016</v>
      </c>
      <c r="B993" s="72" t="s">
        <v>131</v>
      </c>
      <c r="C993" s="73" t="s">
        <v>132</v>
      </c>
      <c r="D993" s="74" t="str">
        <f t="shared" si="31"/>
        <v>mai/2016</v>
      </c>
      <c r="E993" s="53">
        <v>42501</v>
      </c>
      <c r="F993" s="75" t="s">
        <v>199</v>
      </c>
      <c r="G993" s="72"/>
      <c r="H993" s="49" t="s">
        <v>673</v>
      </c>
      <c r="I993" s="49" t="s">
        <v>192</v>
      </c>
      <c r="J993" s="76">
        <v>-359.2</v>
      </c>
      <c r="K993" s="83" t="str">
        <f>IFERROR(IFERROR(VLOOKUP(I993,'DE-PARA'!B:D,3,0),VLOOKUP(I993,'DE-PARA'!C:D,2,0)),"NÃO ENCONTRADO")</f>
        <v>Materiais</v>
      </c>
      <c r="L993" s="50" t="str">
        <f>VLOOKUP(K993,'Base -Receita-Despesa'!$B:$P,1,FALSE)</f>
        <v>Materiais</v>
      </c>
    </row>
    <row r="994" spans="1:12" ht="15" customHeight="1" x14ac:dyDescent="0.3">
      <c r="A994" s="82" t="str">
        <f t="shared" si="30"/>
        <v>2016</v>
      </c>
      <c r="B994" s="72" t="s">
        <v>131</v>
      </c>
      <c r="C994" s="73" t="s">
        <v>132</v>
      </c>
      <c r="D994" s="74" t="str">
        <f t="shared" si="31"/>
        <v>mai/2016</v>
      </c>
      <c r="E994" s="53">
        <v>42501</v>
      </c>
      <c r="F994" s="75" t="s">
        <v>877</v>
      </c>
      <c r="G994" s="72"/>
      <c r="H994" s="49" t="s">
        <v>878</v>
      </c>
      <c r="I994" s="49" t="s">
        <v>206</v>
      </c>
      <c r="J994" s="76">
        <v>-850</v>
      </c>
      <c r="K994" s="83" t="str">
        <f>IFERROR(IFERROR(VLOOKUP(I994,'DE-PARA'!B:D,3,0),VLOOKUP(I994,'DE-PARA'!C:D,2,0)),"NÃO ENCONTRADO")</f>
        <v>Serviços</v>
      </c>
      <c r="L994" s="50" t="str">
        <f>VLOOKUP(K994,'Base -Receita-Despesa'!$B:$P,1,FALSE)</f>
        <v>Serviços</v>
      </c>
    </row>
    <row r="995" spans="1:12" ht="15" customHeight="1" x14ac:dyDescent="0.3">
      <c r="A995" s="82" t="str">
        <f t="shared" si="30"/>
        <v>2016</v>
      </c>
      <c r="B995" s="72" t="s">
        <v>131</v>
      </c>
      <c r="C995" s="73" t="s">
        <v>132</v>
      </c>
      <c r="D995" s="74" t="str">
        <f t="shared" si="31"/>
        <v>mai/2016</v>
      </c>
      <c r="E995" s="53">
        <v>42501</v>
      </c>
      <c r="F995" s="75" t="s">
        <v>199</v>
      </c>
      <c r="G995" s="72"/>
      <c r="H995" s="49" t="s">
        <v>763</v>
      </c>
      <c r="I995" s="49" t="s">
        <v>115</v>
      </c>
      <c r="J995" s="76">
        <v>-193.4</v>
      </c>
      <c r="K995" s="83" t="str">
        <f>IFERROR(IFERROR(VLOOKUP(I995,'DE-PARA'!B:D,3,0),VLOOKUP(I995,'DE-PARA'!C:D,2,0)),"NÃO ENCONTRADO")</f>
        <v>Serviços</v>
      </c>
      <c r="L995" s="50" t="str">
        <f>VLOOKUP(K995,'Base -Receita-Despesa'!$B:$P,1,FALSE)</f>
        <v>Serviços</v>
      </c>
    </row>
    <row r="996" spans="1:12" ht="15" customHeight="1" x14ac:dyDescent="0.3">
      <c r="A996" s="82" t="str">
        <f t="shared" si="30"/>
        <v>2016</v>
      </c>
      <c r="B996" s="72" t="s">
        <v>131</v>
      </c>
      <c r="C996" s="73" t="s">
        <v>132</v>
      </c>
      <c r="D996" s="74" t="str">
        <f t="shared" si="31"/>
        <v>mai/2016</v>
      </c>
      <c r="E996" s="53">
        <v>42501</v>
      </c>
      <c r="F996" s="75" t="s">
        <v>879</v>
      </c>
      <c r="G996" s="72"/>
      <c r="H996" s="49" t="s">
        <v>208</v>
      </c>
      <c r="I996" s="49" t="s">
        <v>159</v>
      </c>
      <c r="J996" s="76">
        <v>-400</v>
      </c>
      <c r="K996" s="83" t="str">
        <f>IFERROR(IFERROR(VLOOKUP(I996,'DE-PARA'!B:D,3,0),VLOOKUP(I996,'DE-PARA'!C:D,2,0)),"NÃO ENCONTRADO")</f>
        <v>Materiais</v>
      </c>
      <c r="L996" s="50" t="str">
        <f>VLOOKUP(K996,'Base -Receita-Despesa'!$B:$P,1,FALSE)</f>
        <v>Materiais</v>
      </c>
    </row>
    <row r="997" spans="1:12" ht="15" customHeight="1" x14ac:dyDescent="0.3">
      <c r="A997" s="82" t="str">
        <f t="shared" si="30"/>
        <v>2016</v>
      </c>
      <c r="B997" s="72" t="s">
        <v>131</v>
      </c>
      <c r="C997" s="73" t="s">
        <v>132</v>
      </c>
      <c r="D997" s="74" t="str">
        <f t="shared" si="31"/>
        <v>mai/2016</v>
      </c>
      <c r="E997" s="53">
        <v>42501</v>
      </c>
      <c r="F997" s="75" t="s">
        <v>880</v>
      </c>
      <c r="G997" s="72"/>
      <c r="H997" s="49" t="s">
        <v>208</v>
      </c>
      <c r="I997" s="49" t="s">
        <v>159</v>
      </c>
      <c r="J997" s="76">
        <v>-700</v>
      </c>
      <c r="K997" s="83" t="str">
        <f>IFERROR(IFERROR(VLOOKUP(I997,'DE-PARA'!B:D,3,0),VLOOKUP(I997,'DE-PARA'!C:D,2,0)),"NÃO ENCONTRADO")</f>
        <v>Materiais</v>
      </c>
      <c r="L997" s="50" t="str">
        <f>VLOOKUP(K997,'Base -Receita-Despesa'!$B:$P,1,FALSE)</f>
        <v>Materiais</v>
      </c>
    </row>
    <row r="998" spans="1:12" ht="15" customHeight="1" x14ac:dyDescent="0.3">
      <c r="A998" s="82" t="str">
        <f t="shared" si="30"/>
        <v>2016</v>
      </c>
      <c r="B998" s="72" t="s">
        <v>131</v>
      </c>
      <c r="C998" s="73" t="s">
        <v>132</v>
      </c>
      <c r="D998" s="74" t="str">
        <f t="shared" si="31"/>
        <v>mai/2016</v>
      </c>
      <c r="E998" s="53">
        <v>42501</v>
      </c>
      <c r="F998" s="75" t="s">
        <v>881</v>
      </c>
      <c r="G998" s="72"/>
      <c r="H998" s="49" t="s">
        <v>208</v>
      </c>
      <c r="I998" s="49" t="s">
        <v>159</v>
      </c>
      <c r="J998" s="76">
        <v>-949</v>
      </c>
      <c r="K998" s="83" t="str">
        <f>IFERROR(IFERROR(VLOOKUP(I998,'DE-PARA'!B:D,3,0),VLOOKUP(I998,'DE-PARA'!C:D,2,0)),"NÃO ENCONTRADO")</f>
        <v>Materiais</v>
      </c>
      <c r="L998" s="50" t="str">
        <f>VLOOKUP(K998,'Base -Receita-Despesa'!$B:$P,1,FALSE)</f>
        <v>Materiais</v>
      </c>
    </row>
    <row r="999" spans="1:12" ht="15" customHeight="1" x14ac:dyDescent="0.3">
      <c r="A999" s="82" t="str">
        <f t="shared" si="30"/>
        <v>2016</v>
      </c>
      <c r="B999" s="72" t="s">
        <v>131</v>
      </c>
      <c r="C999" s="73" t="s">
        <v>132</v>
      </c>
      <c r="D999" s="74" t="str">
        <f t="shared" si="31"/>
        <v>mai/2016</v>
      </c>
      <c r="E999" s="53">
        <v>42501</v>
      </c>
      <c r="F999" s="75" t="s">
        <v>882</v>
      </c>
      <c r="G999" s="72"/>
      <c r="H999" s="49" t="s">
        <v>179</v>
      </c>
      <c r="I999" s="49" t="s">
        <v>180</v>
      </c>
      <c r="J999" s="76">
        <v>-450</v>
      </c>
      <c r="K999" s="83" t="str">
        <f>IFERROR(IFERROR(VLOOKUP(I999,'DE-PARA'!B:D,3,0),VLOOKUP(I999,'DE-PARA'!C:D,2,0)),"NÃO ENCONTRADO")</f>
        <v>Serviços</v>
      </c>
      <c r="L999" s="50" t="str">
        <f>VLOOKUP(K999,'Base -Receita-Despesa'!$B:$P,1,FALSE)</f>
        <v>Serviços</v>
      </c>
    </row>
    <row r="1000" spans="1:12" ht="15" customHeight="1" x14ac:dyDescent="0.3">
      <c r="A1000" s="82" t="str">
        <f t="shared" si="30"/>
        <v>2016</v>
      </c>
      <c r="B1000" s="72" t="s">
        <v>131</v>
      </c>
      <c r="C1000" s="73" t="s">
        <v>132</v>
      </c>
      <c r="D1000" s="74" t="str">
        <f t="shared" si="31"/>
        <v>mai/2016</v>
      </c>
      <c r="E1000" s="53">
        <v>42501</v>
      </c>
      <c r="F1000" s="75" t="s">
        <v>142</v>
      </c>
      <c r="G1000" s="72"/>
      <c r="H1000" s="49" t="s">
        <v>883</v>
      </c>
      <c r="I1000" s="49" t="s">
        <v>144</v>
      </c>
      <c r="J1000" s="76">
        <v>-1250.1199999999999</v>
      </c>
      <c r="K1000" s="83" t="str">
        <f>IFERROR(IFERROR(VLOOKUP(I1000,'DE-PARA'!B:D,3,0),VLOOKUP(I1000,'DE-PARA'!C:D,2,0)),"NÃO ENCONTRADO")</f>
        <v>Concessionárias (água, luz e telefone)</v>
      </c>
      <c r="L1000" s="50" t="str">
        <f>VLOOKUP(K1000,'Base -Receita-Despesa'!$B:$P,1,FALSE)</f>
        <v>Concessionárias (água, luz e telefone)</v>
      </c>
    </row>
    <row r="1001" spans="1:12" ht="15" customHeight="1" x14ac:dyDescent="0.3">
      <c r="A1001" s="82" t="str">
        <f t="shared" si="30"/>
        <v>2016</v>
      </c>
      <c r="B1001" s="72" t="s">
        <v>131</v>
      </c>
      <c r="C1001" s="73" t="s">
        <v>132</v>
      </c>
      <c r="D1001" s="74" t="str">
        <f t="shared" si="31"/>
        <v>mai/2016</v>
      </c>
      <c r="E1001" s="53">
        <v>42501</v>
      </c>
      <c r="F1001" s="75" t="s">
        <v>884</v>
      </c>
      <c r="G1001" s="72"/>
      <c r="H1001" s="49" t="s">
        <v>145</v>
      </c>
      <c r="I1001" s="49" t="s">
        <v>144</v>
      </c>
      <c r="J1001" s="76">
        <v>-1699</v>
      </c>
      <c r="K1001" s="83" t="str">
        <f>IFERROR(IFERROR(VLOOKUP(I1001,'DE-PARA'!B:D,3,0),VLOOKUP(I1001,'DE-PARA'!C:D,2,0)),"NÃO ENCONTRADO")</f>
        <v>Concessionárias (água, luz e telefone)</v>
      </c>
      <c r="L1001" s="50" t="str">
        <f>VLOOKUP(K1001,'Base -Receita-Despesa'!$B:$P,1,FALSE)</f>
        <v>Concessionárias (água, luz e telefone)</v>
      </c>
    </row>
    <row r="1002" spans="1:12" ht="15" customHeight="1" x14ac:dyDescent="0.3">
      <c r="A1002" s="82" t="str">
        <f t="shared" si="30"/>
        <v>2016</v>
      </c>
      <c r="B1002" s="72" t="s">
        <v>131</v>
      </c>
      <c r="C1002" s="73" t="s">
        <v>132</v>
      </c>
      <c r="D1002" s="74" t="str">
        <f t="shared" si="31"/>
        <v>mai/2016</v>
      </c>
      <c r="E1002" s="53">
        <v>42501</v>
      </c>
      <c r="F1002" s="75" t="s">
        <v>885</v>
      </c>
      <c r="G1002" s="72"/>
      <c r="H1002" s="49" t="s">
        <v>215</v>
      </c>
      <c r="I1002" s="49" t="s">
        <v>167</v>
      </c>
      <c r="J1002" s="76">
        <v>-431.4</v>
      </c>
      <c r="K1002" s="83" t="str">
        <f>IFERROR(IFERROR(VLOOKUP(I1002,'DE-PARA'!B:D,3,0),VLOOKUP(I1002,'DE-PARA'!C:D,2,0)),"NÃO ENCONTRADO")</f>
        <v>Materiais</v>
      </c>
      <c r="L1002" s="50" t="str">
        <f>VLOOKUP(K1002,'Base -Receita-Despesa'!$B:$P,1,FALSE)</f>
        <v>Materiais</v>
      </c>
    </row>
    <row r="1003" spans="1:12" ht="15" customHeight="1" x14ac:dyDescent="0.3">
      <c r="A1003" s="82" t="str">
        <f t="shared" si="30"/>
        <v>2016</v>
      </c>
      <c r="B1003" s="72" t="s">
        <v>131</v>
      </c>
      <c r="C1003" s="73" t="s">
        <v>132</v>
      </c>
      <c r="D1003" s="74" t="str">
        <f t="shared" si="31"/>
        <v>mai/2016</v>
      </c>
      <c r="E1003" s="53">
        <v>42501</v>
      </c>
      <c r="F1003" s="75" t="s">
        <v>886</v>
      </c>
      <c r="G1003" s="72"/>
      <c r="H1003" s="49" t="s">
        <v>215</v>
      </c>
      <c r="I1003" s="49" t="s">
        <v>167</v>
      </c>
      <c r="J1003" s="76">
        <v>-295.43</v>
      </c>
      <c r="K1003" s="83" t="str">
        <f>IFERROR(IFERROR(VLOOKUP(I1003,'DE-PARA'!B:D,3,0),VLOOKUP(I1003,'DE-PARA'!C:D,2,0)),"NÃO ENCONTRADO")</f>
        <v>Materiais</v>
      </c>
      <c r="L1003" s="50" t="str">
        <f>VLOOKUP(K1003,'Base -Receita-Despesa'!$B:$P,1,FALSE)</f>
        <v>Materiais</v>
      </c>
    </row>
    <row r="1004" spans="1:12" ht="15" customHeight="1" x14ac:dyDescent="0.3">
      <c r="A1004" s="82" t="str">
        <f t="shared" si="30"/>
        <v>2016</v>
      </c>
      <c r="B1004" s="72" t="s">
        <v>131</v>
      </c>
      <c r="C1004" s="73" t="s">
        <v>132</v>
      </c>
      <c r="D1004" s="74" t="str">
        <f t="shared" si="31"/>
        <v>mai/2016</v>
      </c>
      <c r="E1004" s="53">
        <v>42501</v>
      </c>
      <c r="F1004" s="75" t="s">
        <v>887</v>
      </c>
      <c r="G1004" s="72"/>
      <c r="H1004" s="49" t="s">
        <v>215</v>
      </c>
      <c r="I1004" s="49" t="s">
        <v>167</v>
      </c>
      <c r="J1004" s="76">
        <v>-636.45000000000005</v>
      </c>
      <c r="K1004" s="83" t="str">
        <f>IFERROR(IFERROR(VLOOKUP(I1004,'DE-PARA'!B:D,3,0),VLOOKUP(I1004,'DE-PARA'!C:D,2,0)),"NÃO ENCONTRADO")</f>
        <v>Materiais</v>
      </c>
      <c r="L1004" s="50" t="str">
        <f>VLOOKUP(K1004,'Base -Receita-Despesa'!$B:$P,1,FALSE)</f>
        <v>Materiais</v>
      </c>
    </row>
    <row r="1005" spans="1:12" ht="15" customHeight="1" x14ac:dyDescent="0.3">
      <c r="A1005" s="82" t="str">
        <f t="shared" si="30"/>
        <v>2016</v>
      </c>
      <c r="B1005" s="72" t="s">
        <v>131</v>
      </c>
      <c r="C1005" s="73" t="s">
        <v>132</v>
      </c>
      <c r="D1005" s="74" t="str">
        <f t="shared" si="31"/>
        <v>mai/2016</v>
      </c>
      <c r="E1005" s="53">
        <v>42502</v>
      </c>
      <c r="F1005" s="75" t="s">
        <v>852</v>
      </c>
      <c r="G1005" s="72"/>
      <c r="H1005" s="49" t="s">
        <v>410</v>
      </c>
      <c r="I1005" s="49" t="s">
        <v>112</v>
      </c>
      <c r="J1005" s="76">
        <v>-60091.39</v>
      </c>
      <c r="K1005" s="83" t="str">
        <f>IFERROR(IFERROR(VLOOKUP(I1005,'DE-PARA'!B:D,3,0),VLOOKUP(I1005,'DE-PARA'!C:D,2,0)),"NÃO ENCONTRADO")</f>
        <v>Serviços</v>
      </c>
      <c r="L1005" s="50" t="str">
        <f>VLOOKUP(K1005,'Base -Receita-Despesa'!$B:$P,1,FALSE)</f>
        <v>Serviços</v>
      </c>
    </row>
    <row r="1006" spans="1:12" ht="15" customHeight="1" x14ac:dyDescent="0.3">
      <c r="A1006" s="82" t="str">
        <f t="shared" si="30"/>
        <v>2016</v>
      </c>
      <c r="B1006" s="72" t="s">
        <v>131</v>
      </c>
      <c r="C1006" s="73" t="s">
        <v>132</v>
      </c>
      <c r="D1006" s="74" t="str">
        <f t="shared" si="31"/>
        <v>mai/2016</v>
      </c>
      <c r="E1006" s="53">
        <v>42502</v>
      </c>
      <c r="F1006" s="75" t="s">
        <v>888</v>
      </c>
      <c r="G1006" s="72"/>
      <c r="H1006" s="49" t="s">
        <v>889</v>
      </c>
      <c r="I1006" s="49" t="s">
        <v>196</v>
      </c>
      <c r="J1006" s="76">
        <v>-565.66999999999996</v>
      </c>
      <c r="K1006" s="83" t="str">
        <f>IFERROR(IFERROR(VLOOKUP(I1006,'DE-PARA'!B:D,3,0),VLOOKUP(I1006,'DE-PARA'!C:D,2,0)),"NÃO ENCONTRADO")</f>
        <v>Materiais</v>
      </c>
      <c r="L1006" s="50" t="str">
        <f>VLOOKUP(K1006,'Base -Receita-Despesa'!$B:$P,1,FALSE)</f>
        <v>Materiais</v>
      </c>
    </row>
    <row r="1007" spans="1:12" ht="15" customHeight="1" x14ac:dyDescent="0.3">
      <c r="A1007" s="82" t="str">
        <f t="shared" si="30"/>
        <v>2016</v>
      </c>
      <c r="B1007" s="72" t="s">
        <v>131</v>
      </c>
      <c r="C1007" s="73" t="s">
        <v>132</v>
      </c>
      <c r="D1007" s="74" t="str">
        <f t="shared" si="31"/>
        <v>mai/2016</v>
      </c>
      <c r="E1007" s="53">
        <v>42502</v>
      </c>
      <c r="F1007" s="75" t="s">
        <v>888</v>
      </c>
      <c r="G1007" s="72"/>
      <c r="H1007" s="49" t="s">
        <v>889</v>
      </c>
      <c r="I1007" s="49" t="s">
        <v>196</v>
      </c>
      <c r="J1007" s="76">
        <v>-565.66</v>
      </c>
      <c r="K1007" s="83" t="str">
        <f>IFERROR(IFERROR(VLOOKUP(I1007,'DE-PARA'!B:D,3,0),VLOOKUP(I1007,'DE-PARA'!C:D,2,0)),"NÃO ENCONTRADO")</f>
        <v>Materiais</v>
      </c>
      <c r="L1007" s="50" t="str">
        <f>VLOOKUP(K1007,'Base -Receita-Despesa'!$B:$P,1,FALSE)</f>
        <v>Materiais</v>
      </c>
    </row>
    <row r="1008" spans="1:12" ht="15" customHeight="1" x14ac:dyDescent="0.3">
      <c r="A1008" s="82" t="str">
        <f t="shared" si="30"/>
        <v>2016</v>
      </c>
      <c r="B1008" s="72" t="s">
        <v>131</v>
      </c>
      <c r="C1008" s="73" t="s">
        <v>132</v>
      </c>
      <c r="D1008" s="74" t="str">
        <f t="shared" si="31"/>
        <v>mai/2016</v>
      </c>
      <c r="E1008" s="53">
        <v>42502</v>
      </c>
      <c r="F1008" s="75" t="s">
        <v>890</v>
      </c>
      <c r="G1008" s="72"/>
      <c r="H1008" s="49" t="s">
        <v>889</v>
      </c>
      <c r="I1008" s="49" t="s">
        <v>196</v>
      </c>
      <c r="J1008" s="76">
        <v>-351.45</v>
      </c>
      <c r="K1008" s="83" t="str">
        <f>IFERROR(IFERROR(VLOOKUP(I1008,'DE-PARA'!B:D,3,0),VLOOKUP(I1008,'DE-PARA'!C:D,2,0)),"NÃO ENCONTRADO")</f>
        <v>Materiais</v>
      </c>
      <c r="L1008" s="50" t="str">
        <f>VLOOKUP(K1008,'Base -Receita-Despesa'!$B:$P,1,FALSE)</f>
        <v>Materiais</v>
      </c>
    </row>
    <row r="1009" spans="1:12" ht="15" customHeight="1" x14ac:dyDescent="0.3">
      <c r="A1009" s="82" t="str">
        <f t="shared" si="30"/>
        <v>2016</v>
      </c>
      <c r="B1009" s="72" t="s">
        <v>131</v>
      </c>
      <c r="C1009" s="73" t="s">
        <v>132</v>
      </c>
      <c r="D1009" s="74" t="str">
        <f t="shared" si="31"/>
        <v>mai/2016</v>
      </c>
      <c r="E1009" s="53">
        <v>42502</v>
      </c>
      <c r="F1009" s="75" t="s">
        <v>891</v>
      </c>
      <c r="G1009" s="72"/>
      <c r="H1009" s="49" t="s">
        <v>193</v>
      </c>
      <c r="I1009" s="49" t="s">
        <v>194</v>
      </c>
      <c r="J1009" s="76">
        <v>-699.2</v>
      </c>
      <c r="K1009" s="83" t="str">
        <f>IFERROR(IFERROR(VLOOKUP(I1009,'DE-PARA'!B:D,3,0),VLOOKUP(I1009,'DE-PARA'!C:D,2,0)),"NÃO ENCONTRADO")</f>
        <v>Despesas com Viagens</v>
      </c>
      <c r="L1009" s="50" t="str">
        <f>VLOOKUP(K1009,'Base -Receita-Despesa'!$B:$P,1,FALSE)</f>
        <v>Despesas com Viagens</v>
      </c>
    </row>
    <row r="1010" spans="1:12" ht="15" customHeight="1" x14ac:dyDescent="0.3">
      <c r="A1010" s="82" t="str">
        <f t="shared" si="30"/>
        <v>2016</v>
      </c>
      <c r="B1010" s="72" t="s">
        <v>131</v>
      </c>
      <c r="C1010" s="73" t="s">
        <v>132</v>
      </c>
      <c r="D1010" s="74" t="str">
        <f t="shared" si="31"/>
        <v>mai/2016</v>
      </c>
      <c r="E1010" s="53">
        <v>42502</v>
      </c>
      <c r="F1010" s="75" t="s">
        <v>892</v>
      </c>
      <c r="G1010" s="72"/>
      <c r="H1010" s="49" t="s">
        <v>669</v>
      </c>
      <c r="I1010" s="49" t="s">
        <v>515</v>
      </c>
      <c r="J1010" s="76">
        <v>-24200</v>
      </c>
      <c r="K1010" s="83" t="str">
        <f>IFERROR(IFERROR(VLOOKUP(I1010,'DE-PARA'!B:D,3,0),VLOOKUP(I1010,'DE-PARA'!C:D,2,0)),"NÃO ENCONTRADO")</f>
        <v>Serviços</v>
      </c>
      <c r="L1010" s="50" t="str">
        <f>VLOOKUP(K1010,'Base -Receita-Despesa'!$B:$P,1,FALSE)</f>
        <v>Serviços</v>
      </c>
    </row>
    <row r="1011" spans="1:12" ht="15" customHeight="1" x14ac:dyDescent="0.3">
      <c r="A1011" s="82" t="str">
        <f t="shared" si="30"/>
        <v>2016</v>
      </c>
      <c r="B1011" s="72" t="s">
        <v>131</v>
      </c>
      <c r="C1011" s="73" t="s">
        <v>132</v>
      </c>
      <c r="D1011" s="74" t="str">
        <f t="shared" si="31"/>
        <v>mai/2016</v>
      </c>
      <c r="E1011" s="53">
        <v>42502</v>
      </c>
      <c r="F1011" s="75" t="s">
        <v>154</v>
      </c>
      <c r="G1011" s="72"/>
      <c r="H1011" s="49" t="s">
        <v>552</v>
      </c>
      <c r="I1011" s="49" t="s">
        <v>1497</v>
      </c>
      <c r="J1011" s="76">
        <v>20778.330000000002</v>
      </c>
      <c r="K1011" s="83" t="str">
        <f>IFERROR(IFERROR(VLOOKUP(I1011,'DE-PARA'!B:D,3,0),VLOOKUP(I1011,'DE-PARA'!C:D,2,0)),"NÃO ENCONTRADO")</f>
        <v>Repasses Contrato de Gestão</v>
      </c>
      <c r="L1011" s="50" t="str">
        <f>VLOOKUP(K1011,'Base -Receita-Despesa'!$B:$P,1,FALSE)</f>
        <v>Repasses Contrato de Gestão</v>
      </c>
    </row>
    <row r="1012" spans="1:12" ht="15" customHeight="1" x14ac:dyDescent="0.3">
      <c r="A1012" s="82" t="str">
        <f t="shared" si="30"/>
        <v>2016</v>
      </c>
      <c r="B1012" s="72" t="s">
        <v>131</v>
      </c>
      <c r="C1012" s="73" t="s">
        <v>132</v>
      </c>
      <c r="D1012" s="74" t="str">
        <f t="shared" si="31"/>
        <v>mai/2016</v>
      </c>
      <c r="E1012" s="53">
        <v>42502</v>
      </c>
      <c r="F1012" s="75" t="s">
        <v>893</v>
      </c>
      <c r="G1012" s="72"/>
      <c r="H1012" s="49" t="s">
        <v>161</v>
      </c>
      <c r="I1012" s="49" t="s">
        <v>159</v>
      </c>
      <c r="J1012" s="76">
        <v>-66.3</v>
      </c>
      <c r="K1012" s="83" t="str">
        <f>IFERROR(IFERROR(VLOOKUP(I1012,'DE-PARA'!B:D,3,0),VLOOKUP(I1012,'DE-PARA'!C:D,2,0)),"NÃO ENCONTRADO")</f>
        <v>Materiais</v>
      </c>
      <c r="L1012" s="50" t="str">
        <f>VLOOKUP(K1012,'Base -Receita-Despesa'!$B:$P,1,FALSE)</f>
        <v>Materiais</v>
      </c>
    </row>
    <row r="1013" spans="1:12" ht="15" customHeight="1" x14ac:dyDescent="0.3">
      <c r="A1013" s="82" t="str">
        <f t="shared" si="30"/>
        <v>2016</v>
      </c>
      <c r="B1013" s="72" t="s">
        <v>131</v>
      </c>
      <c r="C1013" s="73" t="s">
        <v>132</v>
      </c>
      <c r="D1013" s="74" t="str">
        <f t="shared" si="31"/>
        <v>mai/2016</v>
      </c>
      <c r="E1013" s="53">
        <v>42502</v>
      </c>
      <c r="F1013" s="75" t="s">
        <v>894</v>
      </c>
      <c r="G1013" s="72"/>
      <c r="H1013" s="49" t="s">
        <v>161</v>
      </c>
      <c r="I1013" s="49" t="s">
        <v>159</v>
      </c>
      <c r="J1013" s="76">
        <v>-289</v>
      </c>
      <c r="K1013" s="83" t="str">
        <f>IFERROR(IFERROR(VLOOKUP(I1013,'DE-PARA'!B:D,3,0),VLOOKUP(I1013,'DE-PARA'!C:D,2,0)),"NÃO ENCONTRADO")</f>
        <v>Materiais</v>
      </c>
      <c r="L1013" s="50" t="str">
        <f>VLOOKUP(K1013,'Base -Receita-Despesa'!$B:$P,1,FALSE)</f>
        <v>Materiais</v>
      </c>
    </row>
    <row r="1014" spans="1:12" ht="15" customHeight="1" x14ac:dyDescent="0.3">
      <c r="A1014" s="82" t="str">
        <f t="shared" si="30"/>
        <v>2016</v>
      </c>
      <c r="B1014" s="72" t="s">
        <v>131</v>
      </c>
      <c r="C1014" s="73" t="s">
        <v>132</v>
      </c>
      <c r="D1014" s="74" t="str">
        <f t="shared" si="31"/>
        <v>mai/2016</v>
      </c>
      <c r="E1014" s="53">
        <v>42502</v>
      </c>
      <c r="F1014" s="75" t="s">
        <v>895</v>
      </c>
      <c r="G1014" s="72"/>
      <c r="H1014" s="49" t="s">
        <v>161</v>
      </c>
      <c r="I1014" s="49" t="s">
        <v>159</v>
      </c>
      <c r="J1014" s="76">
        <v>-462</v>
      </c>
      <c r="K1014" s="83" t="str">
        <f>IFERROR(IFERROR(VLOOKUP(I1014,'DE-PARA'!B:D,3,0),VLOOKUP(I1014,'DE-PARA'!C:D,2,0)),"NÃO ENCONTRADO")</f>
        <v>Materiais</v>
      </c>
      <c r="L1014" s="50" t="str">
        <f>VLOOKUP(K1014,'Base -Receita-Despesa'!$B:$P,1,FALSE)</f>
        <v>Materiais</v>
      </c>
    </row>
    <row r="1015" spans="1:12" ht="15" customHeight="1" x14ac:dyDescent="0.3">
      <c r="A1015" s="82" t="str">
        <f t="shared" si="30"/>
        <v>2016</v>
      </c>
      <c r="B1015" s="72" t="s">
        <v>131</v>
      </c>
      <c r="C1015" s="73" t="s">
        <v>132</v>
      </c>
      <c r="D1015" s="74" t="str">
        <f t="shared" si="31"/>
        <v>mai/2016</v>
      </c>
      <c r="E1015" s="53">
        <v>42502</v>
      </c>
      <c r="F1015" s="75" t="s">
        <v>896</v>
      </c>
      <c r="G1015" s="72"/>
      <c r="H1015" s="49" t="s">
        <v>161</v>
      </c>
      <c r="I1015" s="49" t="s">
        <v>159</v>
      </c>
      <c r="J1015" s="76">
        <v>-621.72</v>
      </c>
      <c r="K1015" s="83" t="str">
        <f>IFERROR(IFERROR(VLOOKUP(I1015,'DE-PARA'!B:D,3,0),VLOOKUP(I1015,'DE-PARA'!C:D,2,0)),"NÃO ENCONTRADO")</f>
        <v>Materiais</v>
      </c>
      <c r="L1015" s="50" t="str">
        <f>VLOOKUP(K1015,'Base -Receita-Despesa'!$B:$P,1,FALSE)</f>
        <v>Materiais</v>
      </c>
    </row>
    <row r="1016" spans="1:12" ht="15" customHeight="1" x14ac:dyDescent="0.3">
      <c r="A1016" s="82" t="str">
        <f t="shared" si="30"/>
        <v>2016</v>
      </c>
      <c r="B1016" s="72" t="s">
        <v>131</v>
      </c>
      <c r="C1016" s="73" t="s">
        <v>132</v>
      </c>
      <c r="D1016" s="74" t="str">
        <f t="shared" si="31"/>
        <v>mai/2016</v>
      </c>
      <c r="E1016" s="53">
        <v>42502</v>
      </c>
      <c r="F1016" s="75" t="s">
        <v>897</v>
      </c>
      <c r="G1016" s="72"/>
      <c r="H1016" s="49" t="s">
        <v>161</v>
      </c>
      <c r="I1016" s="49" t="s">
        <v>159</v>
      </c>
      <c r="J1016" s="76">
        <v>-826.67</v>
      </c>
      <c r="K1016" s="83" t="str">
        <f>IFERROR(IFERROR(VLOOKUP(I1016,'DE-PARA'!B:D,3,0),VLOOKUP(I1016,'DE-PARA'!C:D,2,0)),"NÃO ENCONTRADO")</f>
        <v>Materiais</v>
      </c>
      <c r="L1016" s="50" t="str">
        <f>VLOOKUP(K1016,'Base -Receita-Despesa'!$B:$P,1,FALSE)</f>
        <v>Materiais</v>
      </c>
    </row>
    <row r="1017" spans="1:12" ht="15" customHeight="1" x14ac:dyDescent="0.3">
      <c r="A1017" s="82" t="str">
        <f t="shared" si="30"/>
        <v>2016</v>
      </c>
      <c r="B1017" s="72" t="s">
        <v>131</v>
      </c>
      <c r="C1017" s="73" t="s">
        <v>132</v>
      </c>
      <c r="D1017" s="74" t="str">
        <f t="shared" si="31"/>
        <v>mai/2016</v>
      </c>
      <c r="E1017" s="53">
        <v>42502</v>
      </c>
      <c r="F1017" s="75" t="s">
        <v>898</v>
      </c>
      <c r="G1017" s="72"/>
      <c r="H1017" s="49" t="s">
        <v>161</v>
      </c>
      <c r="I1017" s="49" t="s">
        <v>159</v>
      </c>
      <c r="J1017" s="76">
        <v>-976.44</v>
      </c>
      <c r="K1017" s="83" t="str">
        <f>IFERROR(IFERROR(VLOOKUP(I1017,'DE-PARA'!B:D,3,0),VLOOKUP(I1017,'DE-PARA'!C:D,2,0)),"NÃO ENCONTRADO")</f>
        <v>Materiais</v>
      </c>
      <c r="L1017" s="50" t="str">
        <f>VLOOKUP(K1017,'Base -Receita-Despesa'!$B:$P,1,FALSE)</f>
        <v>Materiais</v>
      </c>
    </row>
    <row r="1018" spans="1:12" ht="15" customHeight="1" x14ac:dyDescent="0.3">
      <c r="A1018" s="82" t="str">
        <f t="shared" si="30"/>
        <v>2016</v>
      </c>
      <c r="B1018" s="72" t="s">
        <v>131</v>
      </c>
      <c r="C1018" s="73" t="s">
        <v>132</v>
      </c>
      <c r="D1018" s="74" t="str">
        <f t="shared" si="31"/>
        <v>mai/2016</v>
      </c>
      <c r="E1018" s="53">
        <v>42502</v>
      </c>
      <c r="F1018" s="75" t="s">
        <v>899</v>
      </c>
      <c r="G1018" s="72"/>
      <c r="H1018" s="49" t="s">
        <v>161</v>
      </c>
      <c r="I1018" s="49" t="s">
        <v>159</v>
      </c>
      <c r="J1018" s="76">
        <v>-1058.4100000000001</v>
      </c>
      <c r="K1018" s="83" t="str">
        <f>IFERROR(IFERROR(VLOOKUP(I1018,'DE-PARA'!B:D,3,0),VLOOKUP(I1018,'DE-PARA'!C:D,2,0)),"NÃO ENCONTRADO")</f>
        <v>Materiais</v>
      </c>
      <c r="L1018" s="50" t="str">
        <f>VLOOKUP(K1018,'Base -Receita-Despesa'!$B:$P,1,FALSE)</f>
        <v>Materiais</v>
      </c>
    </row>
    <row r="1019" spans="1:12" ht="15" customHeight="1" x14ac:dyDescent="0.3">
      <c r="A1019" s="82" t="str">
        <f t="shared" si="30"/>
        <v>2016</v>
      </c>
      <c r="B1019" s="72" t="s">
        <v>131</v>
      </c>
      <c r="C1019" s="73" t="s">
        <v>132</v>
      </c>
      <c r="D1019" s="74" t="str">
        <f t="shared" si="31"/>
        <v>mai/2016</v>
      </c>
      <c r="E1019" s="53">
        <v>42502</v>
      </c>
      <c r="F1019" s="75" t="s">
        <v>900</v>
      </c>
      <c r="G1019" s="72"/>
      <c r="H1019" s="49" t="s">
        <v>161</v>
      </c>
      <c r="I1019" s="49" t="s">
        <v>159</v>
      </c>
      <c r="J1019" s="76">
        <v>-1097.05</v>
      </c>
      <c r="K1019" s="83" t="str">
        <f>IFERROR(IFERROR(VLOOKUP(I1019,'DE-PARA'!B:D,3,0),VLOOKUP(I1019,'DE-PARA'!C:D,2,0)),"NÃO ENCONTRADO")</f>
        <v>Materiais</v>
      </c>
      <c r="L1019" s="50" t="str">
        <f>VLOOKUP(K1019,'Base -Receita-Despesa'!$B:$P,1,FALSE)</f>
        <v>Materiais</v>
      </c>
    </row>
    <row r="1020" spans="1:12" ht="15" customHeight="1" x14ac:dyDescent="0.3">
      <c r="A1020" s="82" t="str">
        <f t="shared" si="30"/>
        <v>2016</v>
      </c>
      <c r="B1020" s="72" t="s">
        <v>131</v>
      </c>
      <c r="C1020" s="73" t="s">
        <v>132</v>
      </c>
      <c r="D1020" s="74" t="str">
        <f t="shared" si="31"/>
        <v>mai/2016</v>
      </c>
      <c r="E1020" s="53">
        <v>42502</v>
      </c>
      <c r="F1020" s="75" t="s">
        <v>901</v>
      </c>
      <c r="G1020" s="72"/>
      <c r="H1020" s="49" t="s">
        <v>161</v>
      </c>
      <c r="I1020" s="49" t="s">
        <v>159</v>
      </c>
      <c r="J1020" s="76">
        <v>-1322.16</v>
      </c>
      <c r="K1020" s="83" t="str">
        <f>IFERROR(IFERROR(VLOOKUP(I1020,'DE-PARA'!B:D,3,0),VLOOKUP(I1020,'DE-PARA'!C:D,2,0)),"NÃO ENCONTRADO")</f>
        <v>Materiais</v>
      </c>
      <c r="L1020" s="50" t="str">
        <f>VLOOKUP(K1020,'Base -Receita-Despesa'!$B:$P,1,FALSE)</f>
        <v>Materiais</v>
      </c>
    </row>
    <row r="1021" spans="1:12" ht="15" customHeight="1" x14ac:dyDescent="0.3">
      <c r="A1021" s="82" t="str">
        <f t="shared" si="30"/>
        <v>2016</v>
      </c>
      <c r="B1021" s="72" t="s">
        <v>131</v>
      </c>
      <c r="C1021" s="73" t="s">
        <v>132</v>
      </c>
      <c r="D1021" s="74" t="str">
        <f t="shared" si="31"/>
        <v>mai/2016</v>
      </c>
      <c r="E1021" s="53">
        <v>42502</v>
      </c>
      <c r="F1021" s="75" t="s">
        <v>840</v>
      </c>
      <c r="G1021" s="72"/>
      <c r="H1021" s="49" t="s">
        <v>863</v>
      </c>
      <c r="I1021" s="49" t="s">
        <v>129</v>
      </c>
      <c r="J1021" s="76">
        <v>-7.85</v>
      </c>
      <c r="K1021" s="83" t="str">
        <f>IFERROR(IFERROR(VLOOKUP(I1021,'DE-PARA'!B:D,3,0),VLOOKUP(I1021,'DE-PARA'!C:D,2,0)),"NÃO ENCONTRADO")</f>
        <v>Outras Saídas</v>
      </c>
      <c r="L1021" s="50" t="str">
        <f>VLOOKUP(K1021,'Base -Receita-Despesa'!$B:$P,1,FALSE)</f>
        <v>Outras Saídas</v>
      </c>
    </row>
    <row r="1022" spans="1:12" ht="15" customHeight="1" x14ac:dyDescent="0.3">
      <c r="A1022" s="82" t="str">
        <f t="shared" si="30"/>
        <v>2016</v>
      </c>
      <c r="B1022" s="72" t="s">
        <v>131</v>
      </c>
      <c r="C1022" s="73" t="s">
        <v>132</v>
      </c>
      <c r="D1022" s="74" t="str">
        <f t="shared" si="31"/>
        <v>mai/2016</v>
      </c>
      <c r="E1022" s="53">
        <v>42502</v>
      </c>
      <c r="F1022" s="75" t="s">
        <v>840</v>
      </c>
      <c r="G1022" s="72"/>
      <c r="H1022" s="49" t="s">
        <v>863</v>
      </c>
      <c r="I1022" s="49" t="s">
        <v>129</v>
      </c>
      <c r="J1022" s="76">
        <v>-7.85</v>
      </c>
      <c r="K1022" s="83" t="str">
        <f>IFERROR(IFERROR(VLOOKUP(I1022,'DE-PARA'!B:D,3,0),VLOOKUP(I1022,'DE-PARA'!C:D,2,0)),"NÃO ENCONTRADO")</f>
        <v>Outras Saídas</v>
      </c>
      <c r="L1022" s="50" t="str">
        <f>VLOOKUP(K1022,'Base -Receita-Despesa'!$B:$P,1,FALSE)</f>
        <v>Outras Saídas</v>
      </c>
    </row>
    <row r="1023" spans="1:12" ht="15" customHeight="1" x14ac:dyDescent="0.3">
      <c r="A1023" s="82" t="str">
        <f t="shared" si="30"/>
        <v>2016</v>
      </c>
      <c r="B1023" s="72" t="s">
        <v>131</v>
      </c>
      <c r="C1023" s="73" t="s">
        <v>132</v>
      </c>
      <c r="D1023" s="74" t="str">
        <f t="shared" si="31"/>
        <v>mai/2016</v>
      </c>
      <c r="E1023" s="53">
        <v>42502</v>
      </c>
      <c r="F1023" s="75" t="s">
        <v>840</v>
      </c>
      <c r="G1023" s="72"/>
      <c r="H1023" s="49" t="s">
        <v>863</v>
      </c>
      <c r="I1023" s="49" t="s">
        <v>129</v>
      </c>
      <c r="J1023" s="76">
        <v>-7.85</v>
      </c>
      <c r="K1023" s="83" t="str">
        <f>IFERROR(IFERROR(VLOOKUP(I1023,'DE-PARA'!B:D,3,0),VLOOKUP(I1023,'DE-PARA'!C:D,2,0)),"NÃO ENCONTRADO")</f>
        <v>Outras Saídas</v>
      </c>
      <c r="L1023" s="50" t="str">
        <f>VLOOKUP(K1023,'Base -Receita-Despesa'!$B:$P,1,FALSE)</f>
        <v>Outras Saídas</v>
      </c>
    </row>
    <row r="1024" spans="1:12" ht="15" customHeight="1" x14ac:dyDescent="0.3">
      <c r="A1024" s="82" t="str">
        <f t="shared" si="30"/>
        <v>2016</v>
      </c>
      <c r="B1024" s="72" t="s">
        <v>131</v>
      </c>
      <c r="C1024" s="73" t="s">
        <v>132</v>
      </c>
      <c r="D1024" s="74" t="str">
        <f t="shared" si="31"/>
        <v>mai/2016</v>
      </c>
      <c r="E1024" s="53">
        <v>42502</v>
      </c>
      <c r="F1024" s="75" t="s">
        <v>840</v>
      </c>
      <c r="G1024" s="72"/>
      <c r="H1024" s="49" t="s">
        <v>863</v>
      </c>
      <c r="I1024" s="49" t="s">
        <v>129</v>
      </c>
      <c r="J1024" s="76">
        <v>-7.85</v>
      </c>
      <c r="K1024" s="83" t="str">
        <f>IFERROR(IFERROR(VLOOKUP(I1024,'DE-PARA'!B:D,3,0),VLOOKUP(I1024,'DE-PARA'!C:D,2,0)),"NÃO ENCONTRADO")</f>
        <v>Outras Saídas</v>
      </c>
      <c r="L1024" s="50" t="str">
        <f>VLOOKUP(K1024,'Base -Receita-Despesa'!$B:$P,1,FALSE)</f>
        <v>Outras Saídas</v>
      </c>
    </row>
    <row r="1025" spans="1:12" ht="15" customHeight="1" x14ac:dyDescent="0.3">
      <c r="A1025" s="82" t="str">
        <f t="shared" si="30"/>
        <v>2016</v>
      </c>
      <c r="B1025" s="72" t="s">
        <v>131</v>
      </c>
      <c r="C1025" s="73" t="s">
        <v>132</v>
      </c>
      <c r="D1025" s="74" t="str">
        <f t="shared" si="31"/>
        <v>mai/2016</v>
      </c>
      <c r="E1025" s="53">
        <v>42502</v>
      </c>
      <c r="F1025" s="75" t="s">
        <v>840</v>
      </c>
      <c r="G1025" s="72"/>
      <c r="H1025" s="49" t="s">
        <v>863</v>
      </c>
      <c r="I1025" s="49" t="s">
        <v>129</v>
      </c>
      <c r="J1025" s="76">
        <v>-7.85</v>
      </c>
      <c r="K1025" s="83" t="str">
        <f>IFERROR(IFERROR(VLOOKUP(I1025,'DE-PARA'!B:D,3,0),VLOOKUP(I1025,'DE-PARA'!C:D,2,0)),"NÃO ENCONTRADO")</f>
        <v>Outras Saídas</v>
      </c>
      <c r="L1025" s="50" t="str">
        <f>VLOOKUP(K1025,'Base -Receita-Despesa'!$B:$P,1,FALSE)</f>
        <v>Outras Saídas</v>
      </c>
    </row>
    <row r="1026" spans="1:12" ht="15" customHeight="1" x14ac:dyDescent="0.3">
      <c r="A1026" s="82" t="str">
        <f t="shared" si="30"/>
        <v>2016</v>
      </c>
      <c r="B1026" s="72" t="s">
        <v>131</v>
      </c>
      <c r="C1026" s="73" t="s">
        <v>132</v>
      </c>
      <c r="D1026" s="74" t="str">
        <f t="shared" si="31"/>
        <v>mai/2016</v>
      </c>
      <c r="E1026" s="53">
        <v>42502</v>
      </c>
      <c r="F1026" s="75" t="s">
        <v>840</v>
      </c>
      <c r="G1026" s="72"/>
      <c r="H1026" s="49" t="s">
        <v>863</v>
      </c>
      <c r="I1026" s="49" t="s">
        <v>129</v>
      </c>
      <c r="J1026" s="76">
        <v>-7.85</v>
      </c>
      <c r="K1026" s="83" t="str">
        <f>IFERROR(IFERROR(VLOOKUP(I1026,'DE-PARA'!B:D,3,0),VLOOKUP(I1026,'DE-PARA'!C:D,2,0)),"NÃO ENCONTRADO")</f>
        <v>Outras Saídas</v>
      </c>
      <c r="L1026" s="50" t="str">
        <f>VLOOKUP(K1026,'Base -Receita-Despesa'!$B:$P,1,FALSE)</f>
        <v>Outras Saídas</v>
      </c>
    </row>
    <row r="1027" spans="1:12" ht="15" customHeight="1" x14ac:dyDescent="0.3">
      <c r="A1027" s="82" t="str">
        <f t="shared" si="30"/>
        <v>2016</v>
      </c>
      <c r="B1027" s="72" t="s">
        <v>131</v>
      </c>
      <c r="C1027" s="73" t="s">
        <v>132</v>
      </c>
      <c r="D1027" s="74" t="str">
        <f t="shared" si="31"/>
        <v>mai/2016</v>
      </c>
      <c r="E1027" s="53">
        <v>42502</v>
      </c>
      <c r="F1027" s="75" t="s">
        <v>840</v>
      </c>
      <c r="G1027" s="72"/>
      <c r="H1027" s="49" t="s">
        <v>863</v>
      </c>
      <c r="I1027" s="49" t="s">
        <v>129</v>
      </c>
      <c r="J1027" s="76">
        <v>-7.85</v>
      </c>
      <c r="K1027" s="83" t="str">
        <f>IFERROR(IFERROR(VLOOKUP(I1027,'DE-PARA'!B:D,3,0),VLOOKUP(I1027,'DE-PARA'!C:D,2,0)),"NÃO ENCONTRADO")</f>
        <v>Outras Saídas</v>
      </c>
      <c r="L1027" s="50" t="str">
        <f>VLOOKUP(K1027,'Base -Receita-Despesa'!$B:$P,1,FALSE)</f>
        <v>Outras Saídas</v>
      </c>
    </row>
    <row r="1028" spans="1:12" ht="15" customHeight="1" x14ac:dyDescent="0.3">
      <c r="A1028" s="82" t="str">
        <f t="shared" ref="A1028:A1091" si="32">IF(K1028="NÃO ENCONTRADO",0,RIGHT(D1028,4))</f>
        <v>2016</v>
      </c>
      <c r="B1028" s="72" t="s">
        <v>131</v>
      </c>
      <c r="C1028" s="73" t="s">
        <v>132</v>
      </c>
      <c r="D1028" s="74" t="str">
        <f t="shared" ref="D1028:D1091" si="33">TEXT(E1028,"mmm/aaaa")</f>
        <v>mai/2016</v>
      </c>
      <c r="E1028" s="53">
        <v>42502</v>
      </c>
      <c r="F1028" s="75" t="s">
        <v>840</v>
      </c>
      <c r="G1028" s="72"/>
      <c r="H1028" s="49" t="s">
        <v>863</v>
      </c>
      <c r="I1028" s="49" t="s">
        <v>129</v>
      </c>
      <c r="J1028" s="76">
        <v>-7.85</v>
      </c>
      <c r="K1028" s="83" t="str">
        <f>IFERROR(IFERROR(VLOOKUP(I1028,'DE-PARA'!B:D,3,0),VLOOKUP(I1028,'DE-PARA'!C:D,2,0)),"NÃO ENCONTRADO")</f>
        <v>Outras Saídas</v>
      </c>
      <c r="L1028" s="50" t="str">
        <f>VLOOKUP(K1028,'Base -Receita-Despesa'!$B:$P,1,FALSE)</f>
        <v>Outras Saídas</v>
      </c>
    </row>
    <row r="1029" spans="1:12" ht="15" customHeight="1" x14ac:dyDescent="0.3">
      <c r="A1029" s="82" t="str">
        <f t="shared" si="32"/>
        <v>2016</v>
      </c>
      <c r="B1029" s="72" t="s">
        <v>131</v>
      </c>
      <c r="C1029" s="73" t="s">
        <v>132</v>
      </c>
      <c r="D1029" s="74" t="str">
        <f t="shared" si="33"/>
        <v>mai/2016</v>
      </c>
      <c r="E1029" s="53">
        <v>42502</v>
      </c>
      <c r="F1029" s="75" t="s">
        <v>840</v>
      </c>
      <c r="G1029" s="72"/>
      <c r="H1029" s="49" t="s">
        <v>863</v>
      </c>
      <c r="I1029" s="49" t="s">
        <v>129</v>
      </c>
      <c r="J1029" s="76">
        <v>-7.85</v>
      </c>
      <c r="K1029" s="83" t="str">
        <f>IFERROR(IFERROR(VLOOKUP(I1029,'DE-PARA'!B:D,3,0),VLOOKUP(I1029,'DE-PARA'!C:D,2,0)),"NÃO ENCONTRADO")</f>
        <v>Outras Saídas</v>
      </c>
      <c r="L1029" s="50" t="str">
        <f>VLOOKUP(K1029,'Base -Receita-Despesa'!$B:$P,1,FALSE)</f>
        <v>Outras Saídas</v>
      </c>
    </row>
    <row r="1030" spans="1:12" ht="15" customHeight="1" x14ac:dyDescent="0.3">
      <c r="A1030" s="82" t="str">
        <f t="shared" si="32"/>
        <v>2016</v>
      </c>
      <c r="B1030" s="72" t="s">
        <v>131</v>
      </c>
      <c r="C1030" s="73" t="s">
        <v>132</v>
      </c>
      <c r="D1030" s="74" t="str">
        <f t="shared" si="33"/>
        <v>mai/2016</v>
      </c>
      <c r="E1030" s="53">
        <v>42502</v>
      </c>
      <c r="F1030" s="75" t="s">
        <v>840</v>
      </c>
      <c r="G1030" s="72"/>
      <c r="H1030" s="49" t="s">
        <v>863</v>
      </c>
      <c r="I1030" s="49" t="s">
        <v>129</v>
      </c>
      <c r="J1030" s="76">
        <v>-7.85</v>
      </c>
      <c r="K1030" s="83" t="str">
        <f>IFERROR(IFERROR(VLOOKUP(I1030,'DE-PARA'!B:D,3,0),VLOOKUP(I1030,'DE-PARA'!C:D,2,0)),"NÃO ENCONTRADO")</f>
        <v>Outras Saídas</v>
      </c>
      <c r="L1030" s="50" t="str">
        <f>VLOOKUP(K1030,'Base -Receita-Despesa'!$B:$P,1,FALSE)</f>
        <v>Outras Saídas</v>
      </c>
    </row>
    <row r="1031" spans="1:12" ht="15" customHeight="1" x14ac:dyDescent="0.3">
      <c r="A1031" s="82" t="str">
        <f t="shared" si="32"/>
        <v>2016</v>
      </c>
      <c r="B1031" s="72" t="s">
        <v>131</v>
      </c>
      <c r="C1031" s="73" t="s">
        <v>132</v>
      </c>
      <c r="D1031" s="74" t="str">
        <f t="shared" si="33"/>
        <v>mai/2016</v>
      </c>
      <c r="E1031" s="53">
        <v>42502</v>
      </c>
      <c r="F1031" s="75" t="s">
        <v>840</v>
      </c>
      <c r="G1031" s="72"/>
      <c r="H1031" s="49" t="s">
        <v>863</v>
      </c>
      <c r="I1031" s="49" t="s">
        <v>129</v>
      </c>
      <c r="J1031" s="76">
        <v>-7.85</v>
      </c>
      <c r="K1031" s="83" t="str">
        <f>IFERROR(IFERROR(VLOOKUP(I1031,'DE-PARA'!B:D,3,0),VLOOKUP(I1031,'DE-PARA'!C:D,2,0)),"NÃO ENCONTRADO")</f>
        <v>Outras Saídas</v>
      </c>
      <c r="L1031" s="50" t="str">
        <f>VLOOKUP(K1031,'Base -Receita-Despesa'!$B:$P,1,FALSE)</f>
        <v>Outras Saídas</v>
      </c>
    </row>
    <row r="1032" spans="1:12" ht="15" customHeight="1" x14ac:dyDescent="0.3">
      <c r="A1032" s="82" t="str">
        <f t="shared" si="32"/>
        <v>2016</v>
      </c>
      <c r="B1032" s="72" t="s">
        <v>131</v>
      </c>
      <c r="C1032" s="73" t="s">
        <v>132</v>
      </c>
      <c r="D1032" s="74" t="str">
        <f t="shared" si="33"/>
        <v>mai/2016</v>
      </c>
      <c r="E1032" s="53">
        <v>42502</v>
      </c>
      <c r="F1032" s="75" t="s">
        <v>840</v>
      </c>
      <c r="G1032" s="72"/>
      <c r="H1032" s="49" t="s">
        <v>863</v>
      </c>
      <c r="I1032" s="49" t="s">
        <v>129</v>
      </c>
      <c r="J1032" s="76">
        <v>-7.85</v>
      </c>
      <c r="K1032" s="83" t="str">
        <f>IFERROR(IFERROR(VLOOKUP(I1032,'DE-PARA'!B:D,3,0),VLOOKUP(I1032,'DE-PARA'!C:D,2,0)),"NÃO ENCONTRADO")</f>
        <v>Outras Saídas</v>
      </c>
      <c r="L1032" s="50" t="str">
        <f>VLOOKUP(K1032,'Base -Receita-Despesa'!$B:$P,1,FALSE)</f>
        <v>Outras Saídas</v>
      </c>
    </row>
    <row r="1033" spans="1:12" ht="15" customHeight="1" x14ac:dyDescent="0.3">
      <c r="A1033" s="82" t="str">
        <f t="shared" si="32"/>
        <v>2016</v>
      </c>
      <c r="B1033" s="72" t="s">
        <v>131</v>
      </c>
      <c r="C1033" s="73" t="s">
        <v>132</v>
      </c>
      <c r="D1033" s="74" t="str">
        <f t="shared" si="33"/>
        <v>mai/2016</v>
      </c>
      <c r="E1033" s="53">
        <v>42502</v>
      </c>
      <c r="F1033" s="75" t="s">
        <v>840</v>
      </c>
      <c r="G1033" s="72"/>
      <c r="H1033" s="49" t="s">
        <v>863</v>
      </c>
      <c r="I1033" s="49" t="s">
        <v>129</v>
      </c>
      <c r="J1033" s="76">
        <v>-7.85</v>
      </c>
      <c r="K1033" s="83" t="str">
        <f>IFERROR(IFERROR(VLOOKUP(I1033,'DE-PARA'!B:D,3,0),VLOOKUP(I1033,'DE-PARA'!C:D,2,0)),"NÃO ENCONTRADO")</f>
        <v>Outras Saídas</v>
      </c>
      <c r="L1033" s="50" t="str">
        <f>VLOOKUP(K1033,'Base -Receita-Despesa'!$B:$P,1,FALSE)</f>
        <v>Outras Saídas</v>
      </c>
    </row>
    <row r="1034" spans="1:12" ht="15" customHeight="1" x14ac:dyDescent="0.3">
      <c r="A1034" s="82" t="str">
        <f t="shared" si="32"/>
        <v>2016</v>
      </c>
      <c r="B1034" s="72" t="s">
        <v>131</v>
      </c>
      <c r="C1034" s="73" t="s">
        <v>132</v>
      </c>
      <c r="D1034" s="74" t="str">
        <f t="shared" si="33"/>
        <v>mai/2016</v>
      </c>
      <c r="E1034" s="53">
        <v>42502</v>
      </c>
      <c r="F1034" s="75" t="s">
        <v>840</v>
      </c>
      <c r="G1034" s="72"/>
      <c r="H1034" s="49" t="s">
        <v>863</v>
      </c>
      <c r="I1034" s="49" t="s">
        <v>129</v>
      </c>
      <c r="J1034" s="76">
        <v>-7.85</v>
      </c>
      <c r="K1034" s="83" t="str">
        <f>IFERROR(IFERROR(VLOOKUP(I1034,'DE-PARA'!B:D,3,0),VLOOKUP(I1034,'DE-PARA'!C:D,2,0)),"NÃO ENCONTRADO")</f>
        <v>Outras Saídas</v>
      </c>
      <c r="L1034" s="50" t="str">
        <f>VLOOKUP(K1034,'Base -Receita-Despesa'!$B:$P,1,FALSE)</f>
        <v>Outras Saídas</v>
      </c>
    </row>
    <row r="1035" spans="1:12" ht="15" customHeight="1" x14ac:dyDescent="0.3">
      <c r="A1035" s="82" t="str">
        <f t="shared" si="32"/>
        <v>2016</v>
      </c>
      <c r="B1035" s="72" t="s">
        <v>131</v>
      </c>
      <c r="C1035" s="73" t="s">
        <v>132</v>
      </c>
      <c r="D1035" s="74" t="str">
        <f t="shared" si="33"/>
        <v>mai/2016</v>
      </c>
      <c r="E1035" s="53">
        <v>42502</v>
      </c>
      <c r="F1035" s="75" t="s">
        <v>840</v>
      </c>
      <c r="G1035" s="72"/>
      <c r="H1035" s="49" t="s">
        <v>863</v>
      </c>
      <c r="I1035" s="49" t="s">
        <v>129</v>
      </c>
      <c r="J1035" s="76">
        <v>-7.85</v>
      </c>
      <c r="K1035" s="83" t="str">
        <f>IFERROR(IFERROR(VLOOKUP(I1035,'DE-PARA'!B:D,3,0),VLOOKUP(I1035,'DE-PARA'!C:D,2,0)),"NÃO ENCONTRADO")</f>
        <v>Outras Saídas</v>
      </c>
      <c r="L1035" s="50" t="str">
        <f>VLOOKUP(K1035,'Base -Receita-Despesa'!$B:$P,1,FALSE)</f>
        <v>Outras Saídas</v>
      </c>
    </row>
    <row r="1036" spans="1:12" ht="15" customHeight="1" x14ac:dyDescent="0.3">
      <c r="A1036" s="82" t="str">
        <f t="shared" si="32"/>
        <v>2016</v>
      </c>
      <c r="B1036" s="72" t="s">
        <v>131</v>
      </c>
      <c r="C1036" s="73" t="s">
        <v>132</v>
      </c>
      <c r="D1036" s="74" t="str">
        <f t="shared" si="33"/>
        <v>mai/2016</v>
      </c>
      <c r="E1036" s="53">
        <v>42502</v>
      </c>
      <c r="F1036" s="75" t="s">
        <v>840</v>
      </c>
      <c r="G1036" s="72"/>
      <c r="H1036" s="49" t="s">
        <v>863</v>
      </c>
      <c r="I1036" s="49" t="s">
        <v>129</v>
      </c>
      <c r="J1036" s="76">
        <v>-7.85</v>
      </c>
      <c r="K1036" s="83" t="str">
        <f>IFERROR(IFERROR(VLOOKUP(I1036,'DE-PARA'!B:D,3,0),VLOOKUP(I1036,'DE-PARA'!C:D,2,0)),"NÃO ENCONTRADO")</f>
        <v>Outras Saídas</v>
      </c>
      <c r="L1036" s="50" t="str">
        <f>VLOOKUP(K1036,'Base -Receita-Despesa'!$B:$P,1,FALSE)</f>
        <v>Outras Saídas</v>
      </c>
    </row>
    <row r="1037" spans="1:12" ht="15" customHeight="1" x14ac:dyDescent="0.3">
      <c r="A1037" s="82" t="str">
        <f t="shared" si="32"/>
        <v>2016</v>
      </c>
      <c r="B1037" s="72" t="s">
        <v>131</v>
      </c>
      <c r="C1037" s="73" t="s">
        <v>132</v>
      </c>
      <c r="D1037" s="74" t="str">
        <f t="shared" si="33"/>
        <v>mai/2016</v>
      </c>
      <c r="E1037" s="53">
        <v>42502</v>
      </c>
      <c r="F1037" s="75" t="s">
        <v>840</v>
      </c>
      <c r="G1037" s="72"/>
      <c r="H1037" s="49" t="s">
        <v>863</v>
      </c>
      <c r="I1037" s="49" t="s">
        <v>129</v>
      </c>
      <c r="J1037" s="76">
        <v>-7.85</v>
      </c>
      <c r="K1037" s="83" t="str">
        <f>IFERROR(IFERROR(VLOOKUP(I1037,'DE-PARA'!B:D,3,0),VLOOKUP(I1037,'DE-PARA'!C:D,2,0)),"NÃO ENCONTRADO")</f>
        <v>Outras Saídas</v>
      </c>
      <c r="L1037" s="50" t="str">
        <f>VLOOKUP(K1037,'Base -Receita-Despesa'!$B:$P,1,FALSE)</f>
        <v>Outras Saídas</v>
      </c>
    </row>
    <row r="1038" spans="1:12" ht="15" customHeight="1" x14ac:dyDescent="0.3">
      <c r="A1038" s="82" t="str">
        <f t="shared" si="32"/>
        <v>2016</v>
      </c>
      <c r="B1038" s="72" t="s">
        <v>131</v>
      </c>
      <c r="C1038" s="73" t="s">
        <v>132</v>
      </c>
      <c r="D1038" s="74" t="str">
        <f t="shared" si="33"/>
        <v>mai/2016</v>
      </c>
      <c r="E1038" s="53">
        <v>42502</v>
      </c>
      <c r="F1038" s="75" t="s">
        <v>840</v>
      </c>
      <c r="G1038" s="72"/>
      <c r="H1038" s="49" t="s">
        <v>863</v>
      </c>
      <c r="I1038" s="49" t="s">
        <v>129</v>
      </c>
      <c r="J1038" s="76">
        <v>-7.85</v>
      </c>
      <c r="K1038" s="83" t="str">
        <f>IFERROR(IFERROR(VLOOKUP(I1038,'DE-PARA'!B:D,3,0),VLOOKUP(I1038,'DE-PARA'!C:D,2,0)),"NÃO ENCONTRADO")</f>
        <v>Outras Saídas</v>
      </c>
      <c r="L1038" s="50" t="str">
        <f>VLOOKUP(K1038,'Base -Receita-Despesa'!$B:$P,1,FALSE)</f>
        <v>Outras Saídas</v>
      </c>
    </row>
    <row r="1039" spans="1:12" ht="15" customHeight="1" x14ac:dyDescent="0.3">
      <c r="A1039" s="82" t="str">
        <f t="shared" si="32"/>
        <v>2016</v>
      </c>
      <c r="B1039" s="72" t="s">
        <v>131</v>
      </c>
      <c r="C1039" s="73" t="s">
        <v>132</v>
      </c>
      <c r="D1039" s="74" t="str">
        <f t="shared" si="33"/>
        <v>mai/2016</v>
      </c>
      <c r="E1039" s="53">
        <v>42502</v>
      </c>
      <c r="F1039" s="75" t="s">
        <v>840</v>
      </c>
      <c r="G1039" s="72"/>
      <c r="H1039" s="49" t="s">
        <v>863</v>
      </c>
      <c r="I1039" s="49" t="s">
        <v>129</v>
      </c>
      <c r="J1039" s="76">
        <v>-7.85</v>
      </c>
      <c r="K1039" s="83" t="str">
        <f>IFERROR(IFERROR(VLOOKUP(I1039,'DE-PARA'!B:D,3,0),VLOOKUP(I1039,'DE-PARA'!C:D,2,0)),"NÃO ENCONTRADO")</f>
        <v>Outras Saídas</v>
      </c>
      <c r="L1039" s="50" t="str">
        <f>VLOOKUP(K1039,'Base -Receita-Despesa'!$B:$P,1,FALSE)</f>
        <v>Outras Saídas</v>
      </c>
    </row>
    <row r="1040" spans="1:12" ht="15" customHeight="1" x14ac:dyDescent="0.3">
      <c r="A1040" s="82" t="str">
        <f t="shared" si="32"/>
        <v>2016</v>
      </c>
      <c r="B1040" s="72" t="s">
        <v>131</v>
      </c>
      <c r="C1040" s="73" t="s">
        <v>132</v>
      </c>
      <c r="D1040" s="74" t="str">
        <f t="shared" si="33"/>
        <v>mai/2016</v>
      </c>
      <c r="E1040" s="53">
        <v>42502</v>
      </c>
      <c r="F1040" s="75" t="s">
        <v>840</v>
      </c>
      <c r="G1040" s="72"/>
      <c r="H1040" s="49" t="s">
        <v>863</v>
      </c>
      <c r="I1040" s="49" t="s">
        <v>129</v>
      </c>
      <c r="J1040" s="76">
        <v>-7.85</v>
      </c>
      <c r="K1040" s="83" t="str">
        <f>IFERROR(IFERROR(VLOOKUP(I1040,'DE-PARA'!B:D,3,0),VLOOKUP(I1040,'DE-PARA'!C:D,2,0)),"NÃO ENCONTRADO")</f>
        <v>Outras Saídas</v>
      </c>
      <c r="L1040" s="50" t="str">
        <f>VLOOKUP(K1040,'Base -Receita-Despesa'!$B:$P,1,FALSE)</f>
        <v>Outras Saídas</v>
      </c>
    </row>
    <row r="1041" spans="1:12" ht="15" customHeight="1" x14ac:dyDescent="0.3">
      <c r="A1041" s="82" t="str">
        <f t="shared" si="32"/>
        <v>2016</v>
      </c>
      <c r="B1041" s="72" t="s">
        <v>131</v>
      </c>
      <c r="C1041" s="73" t="s">
        <v>132</v>
      </c>
      <c r="D1041" s="74" t="str">
        <f t="shared" si="33"/>
        <v>mai/2016</v>
      </c>
      <c r="E1041" s="53">
        <v>42502</v>
      </c>
      <c r="F1041" s="75" t="s">
        <v>840</v>
      </c>
      <c r="G1041" s="72"/>
      <c r="H1041" s="49" t="s">
        <v>863</v>
      </c>
      <c r="I1041" s="49" t="s">
        <v>129</v>
      </c>
      <c r="J1041" s="76">
        <v>-7.85</v>
      </c>
      <c r="K1041" s="83" t="str">
        <f>IFERROR(IFERROR(VLOOKUP(I1041,'DE-PARA'!B:D,3,0),VLOOKUP(I1041,'DE-PARA'!C:D,2,0)),"NÃO ENCONTRADO")</f>
        <v>Outras Saídas</v>
      </c>
      <c r="L1041" s="50" t="str">
        <f>VLOOKUP(K1041,'Base -Receita-Despesa'!$B:$P,1,FALSE)</f>
        <v>Outras Saídas</v>
      </c>
    </row>
    <row r="1042" spans="1:12" ht="15" customHeight="1" x14ac:dyDescent="0.3">
      <c r="A1042" s="82" t="str">
        <f t="shared" si="32"/>
        <v>2016</v>
      </c>
      <c r="B1042" s="72" t="s">
        <v>131</v>
      </c>
      <c r="C1042" s="73" t="s">
        <v>132</v>
      </c>
      <c r="D1042" s="74" t="str">
        <f t="shared" si="33"/>
        <v>mai/2016</v>
      </c>
      <c r="E1042" s="53">
        <v>42502</v>
      </c>
      <c r="F1042" s="75" t="s">
        <v>840</v>
      </c>
      <c r="G1042" s="72"/>
      <c r="H1042" s="49" t="s">
        <v>863</v>
      </c>
      <c r="I1042" s="49" t="s">
        <v>129</v>
      </c>
      <c r="J1042" s="76">
        <v>-7.85</v>
      </c>
      <c r="K1042" s="83" t="str">
        <f>IFERROR(IFERROR(VLOOKUP(I1042,'DE-PARA'!B:D,3,0),VLOOKUP(I1042,'DE-PARA'!C:D,2,0)),"NÃO ENCONTRADO")</f>
        <v>Outras Saídas</v>
      </c>
      <c r="L1042" s="50" t="str">
        <f>VLOOKUP(K1042,'Base -Receita-Despesa'!$B:$P,1,FALSE)</f>
        <v>Outras Saídas</v>
      </c>
    </row>
    <row r="1043" spans="1:12" ht="15" customHeight="1" x14ac:dyDescent="0.3">
      <c r="A1043" s="82" t="str">
        <f t="shared" si="32"/>
        <v>2016</v>
      </c>
      <c r="B1043" s="72" t="s">
        <v>131</v>
      </c>
      <c r="C1043" s="73" t="s">
        <v>132</v>
      </c>
      <c r="D1043" s="74" t="str">
        <f t="shared" si="33"/>
        <v>mai/2016</v>
      </c>
      <c r="E1043" s="53">
        <v>42502</v>
      </c>
      <c r="F1043" s="75" t="s">
        <v>840</v>
      </c>
      <c r="G1043" s="72"/>
      <c r="H1043" s="49" t="s">
        <v>863</v>
      </c>
      <c r="I1043" s="49" t="s">
        <v>129</v>
      </c>
      <c r="J1043" s="76">
        <v>-7.85</v>
      </c>
      <c r="K1043" s="83" t="str">
        <f>IFERROR(IFERROR(VLOOKUP(I1043,'DE-PARA'!B:D,3,0),VLOOKUP(I1043,'DE-PARA'!C:D,2,0)),"NÃO ENCONTRADO")</f>
        <v>Outras Saídas</v>
      </c>
      <c r="L1043" s="50" t="str">
        <f>VLOOKUP(K1043,'Base -Receita-Despesa'!$B:$P,1,FALSE)</f>
        <v>Outras Saídas</v>
      </c>
    </row>
    <row r="1044" spans="1:12" ht="15" customHeight="1" x14ac:dyDescent="0.3">
      <c r="A1044" s="82" t="str">
        <f t="shared" si="32"/>
        <v>2016</v>
      </c>
      <c r="B1044" s="72" t="s">
        <v>131</v>
      </c>
      <c r="C1044" s="73" t="s">
        <v>132</v>
      </c>
      <c r="D1044" s="74" t="str">
        <f t="shared" si="33"/>
        <v>mai/2016</v>
      </c>
      <c r="E1044" s="53">
        <v>42502</v>
      </c>
      <c r="F1044" s="75" t="s">
        <v>840</v>
      </c>
      <c r="G1044" s="72"/>
      <c r="H1044" s="49" t="s">
        <v>863</v>
      </c>
      <c r="I1044" s="49" t="s">
        <v>129</v>
      </c>
      <c r="J1044" s="76">
        <v>-7.85</v>
      </c>
      <c r="K1044" s="83" t="str">
        <f>IFERROR(IFERROR(VLOOKUP(I1044,'DE-PARA'!B:D,3,0),VLOOKUP(I1044,'DE-PARA'!C:D,2,0)),"NÃO ENCONTRADO")</f>
        <v>Outras Saídas</v>
      </c>
      <c r="L1044" s="50" t="str">
        <f>VLOOKUP(K1044,'Base -Receita-Despesa'!$B:$P,1,FALSE)</f>
        <v>Outras Saídas</v>
      </c>
    </row>
    <row r="1045" spans="1:12" ht="15" customHeight="1" x14ac:dyDescent="0.3">
      <c r="A1045" s="82" t="str">
        <f t="shared" si="32"/>
        <v>2016</v>
      </c>
      <c r="B1045" s="72" t="s">
        <v>131</v>
      </c>
      <c r="C1045" s="73" t="s">
        <v>132</v>
      </c>
      <c r="D1045" s="74" t="str">
        <f t="shared" si="33"/>
        <v>mai/2016</v>
      </c>
      <c r="E1045" s="53">
        <v>42502</v>
      </c>
      <c r="F1045" s="75" t="s">
        <v>840</v>
      </c>
      <c r="G1045" s="72"/>
      <c r="H1045" s="49" t="s">
        <v>863</v>
      </c>
      <c r="I1045" s="49" t="s">
        <v>129</v>
      </c>
      <c r="J1045" s="76">
        <v>-7.85</v>
      </c>
      <c r="K1045" s="83" t="str">
        <f>IFERROR(IFERROR(VLOOKUP(I1045,'DE-PARA'!B:D,3,0),VLOOKUP(I1045,'DE-PARA'!C:D,2,0)),"NÃO ENCONTRADO")</f>
        <v>Outras Saídas</v>
      </c>
      <c r="L1045" s="50" t="str">
        <f>VLOOKUP(K1045,'Base -Receita-Despesa'!$B:$P,1,FALSE)</f>
        <v>Outras Saídas</v>
      </c>
    </row>
    <row r="1046" spans="1:12" ht="15" customHeight="1" x14ac:dyDescent="0.3">
      <c r="A1046" s="82" t="str">
        <f t="shared" si="32"/>
        <v>2016</v>
      </c>
      <c r="B1046" s="72" t="s">
        <v>131</v>
      </c>
      <c r="C1046" s="73" t="s">
        <v>132</v>
      </c>
      <c r="D1046" s="74" t="str">
        <f t="shared" si="33"/>
        <v>mai/2016</v>
      </c>
      <c r="E1046" s="53">
        <v>42502</v>
      </c>
      <c r="F1046" s="75" t="s">
        <v>840</v>
      </c>
      <c r="G1046" s="72"/>
      <c r="H1046" s="49" t="s">
        <v>863</v>
      </c>
      <c r="I1046" s="49" t="s">
        <v>129</v>
      </c>
      <c r="J1046" s="76">
        <v>-7.85</v>
      </c>
      <c r="K1046" s="83" t="str">
        <f>IFERROR(IFERROR(VLOOKUP(I1046,'DE-PARA'!B:D,3,0),VLOOKUP(I1046,'DE-PARA'!C:D,2,0)),"NÃO ENCONTRADO")</f>
        <v>Outras Saídas</v>
      </c>
      <c r="L1046" s="50" t="str">
        <f>VLOOKUP(K1046,'Base -Receita-Despesa'!$B:$P,1,FALSE)</f>
        <v>Outras Saídas</v>
      </c>
    </row>
    <row r="1047" spans="1:12" ht="15" customHeight="1" x14ac:dyDescent="0.3">
      <c r="A1047" s="82" t="str">
        <f t="shared" si="32"/>
        <v>2016</v>
      </c>
      <c r="B1047" s="72" t="s">
        <v>131</v>
      </c>
      <c r="C1047" s="73" t="s">
        <v>132</v>
      </c>
      <c r="D1047" s="74" t="str">
        <f t="shared" si="33"/>
        <v>mai/2016</v>
      </c>
      <c r="E1047" s="53">
        <v>42502</v>
      </c>
      <c r="F1047" s="75" t="s">
        <v>840</v>
      </c>
      <c r="G1047" s="72"/>
      <c r="H1047" s="49" t="s">
        <v>863</v>
      </c>
      <c r="I1047" s="49" t="s">
        <v>129</v>
      </c>
      <c r="J1047" s="76">
        <v>-7.85</v>
      </c>
      <c r="K1047" s="83" t="str">
        <f>IFERROR(IFERROR(VLOOKUP(I1047,'DE-PARA'!B:D,3,0),VLOOKUP(I1047,'DE-PARA'!C:D,2,0)),"NÃO ENCONTRADO")</f>
        <v>Outras Saídas</v>
      </c>
      <c r="L1047" s="50" t="str">
        <f>VLOOKUP(K1047,'Base -Receita-Despesa'!$B:$P,1,FALSE)</f>
        <v>Outras Saídas</v>
      </c>
    </row>
    <row r="1048" spans="1:12" ht="15" customHeight="1" x14ac:dyDescent="0.3">
      <c r="A1048" s="82" t="str">
        <f t="shared" si="32"/>
        <v>2016</v>
      </c>
      <c r="B1048" s="72" t="s">
        <v>131</v>
      </c>
      <c r="C1048" s="73" t="s">
        <v>132</v>
      </c>
      <c r="D1048" s="74" t="str">
        <f t="shared" si="33"/>
        <v>mai/2016</v>
      </c>
      <c r="E1048" s="53">
        <v>42502</v>
      </c>
      <c r="F1048" s="75" t="s">
        <v>840</v>
      </c>
      <c r="G1048" s="72"/>
      <c r="H1048" s="49" t="s">
        <v>863</v>
      </c>
      <c r="I1048" s="49" t="s">
        <v>129</v>
      </c>
      <c r="J1048" s="76">
        <v>-7.85</v>
      </c>
      <c r="K1048" s="83" t="str">
        <f>IFERROR(IFERROR(VLOOKUP(I1048,'DE-PARA'!B:D,3,0),VLOOKUP(I1048,'DE-PARA'!C:D,2,0)),"NÃO ENCONTRADO")</f>
        <v>Outras Saídas</v>
      </c>
      <c r="L1048" s="50" t="str">
        <f>VLOOKUP(K1048,'Base -Receita-Despesa'!$B:$P,1,FALSE)</f>
        <v>Outras Saídas</v>
      </c>
    </row>
    <row r="1049" spans="1:12" ht="15" customHeight="1" x14ac:dyDescent="0.3">
      <c r="A1049" s="82" t="str">
        <f t="shared" si="32"/>
        <v>2016</v>
      </c>
      <c r="B1049" s="72" t="s">
        <v>131</v>
      </c>
      <c r="C1049" s="73" t="s">
        <v>132</v>
      </c>
      <c r="D1049" s="74" t="str">
        <f t="shared" si="33"/>
        <v>mai/2016</v>
      </c>
      <c r="E1049" s="53">
        <v>42502</v>
      </c>
      <c r="F1049" s="75" t="s">
        <v>840</v>
      </c>
      <c r="G1049" s="72"/>
      <c r="H1049" s="49" t="s">
        <v>863</v>
      </c>
      <c r="I1049" s="49" t="s">
        <v>129</v>
      </c>
      <c r="J1049" s="76">
        <v>-7.85</v>
      </c>
      <c r="K1049" s="83" t="str">
        <f>IFERROR(IFERROR(VLOOKUP(I1049,'DE-PARA'!B:D,3,0),VLOOKUP(I1049,'DE-PARA'!C:D,2,0)),"NÃO ENCONTRADO")</f>
        <v>Outras Saídas</v>
      </c>
      <c r="L1049" s="50" t="str">
        <f>VLOOKUP(K1049,'Base -Receita-Despesa'!$B:$P,1,FALSE)</f>
        <v>Outras Saídas</v>
      </c>
    </row>
    <row r="1050" spans="1:12" ht="15" customHeight="1" x14ac:dyDescent="0.3">
      <c r="A1050" s="82" t="str">
        <f t="shared" si="32"/>
        <v>2016</v>
      </c>
      <c r="B1050" s="72" t="s">
        <v>131</v>
      </c>
      <c r="C1050" s="73" t="s">
        <v>132</v>
      </c>
      <c r="D1050" s="74" t="str">
        <f t="shared" si="33"/>
        <v>mai/2016</v>
      </c>
      <c r="E1050" s="53">
        <v>42502</v>
      </c>
      <c r="F1050" s="75" t="s">
        <v>840</v>
      </c>
      <c r="G1050" s="72"/>
      <c r="H1050" s="49" t="s">
        <v>863</v>
      </c>
      <c r="I1050" s="49" t="s">
        <v>129</v>
      </c>
      <c r="J1050" s="76">
        <v>-7.85</v>
      </c>
      <c r="K1050" s="83" t="str">
        <f>IFERROR(IFERROR(VLOOKUP(I1050,'DE-PARA'!B:D,3,0),VLOOKUP(I1050,'DE-PARA'!C:D,2,0)),"NÃO ENCONTRADO")</f>
        <v>Outras Saídas</v>
      </c>
      <c r="L1050" s="50" t="str">
        <f>VLOOKUP(K1050,'Base -Receita-Despesa'!$B:$P,1,FALSE)</f>
        <v>Outras Saídas</v>
      </c>
    </row>
    <row r="1051" spans="1:12" ht="15" customHeight="1" x14ac:dyDescent="0.3">
      <c r="A1051" s="82" t="str">
        <f t="shared" si="32"/>
        <v>2016</v>
      </c>
      <c r="B1051" s="72" t="s">
        <v>131</v>
      </c>
      <c r="C1051" s="73" t="s">
        <v>132</v>
      </c>
      <c r="D1051" s="74" t="str">
        <f t="shared" si="33"/>
        <v>mai/2016</v>
      </c>
      <c r="E1051" s="53">
        <v>42502</v>
      </c>
      <c r="F1051" s="75" t="s">
        <v>840</v>
      </c>
      <c r="G1051" s="72"/>
      <c r="H1051" s="49" t="s">
        <v>863</v>
      </c>
      <c r="I1051" s="49" t="s">
        <v>129</v>
      </c>
      <c r="J1051" s="76">
        <v>-7.85</v>
      </c>
      <c r="K1051" s="83" t="str">
        <f>IFERROR(IFERROR(VLOOKUP(I1051,'DE-PARA'!B:D,3,0),VLOOKUP(I1051,'DE-PARA'!C:D,2,0)),"NÃO ENCONTRADO")</f>
        <v>Outras Saídas</v>
      </c>
      <c r="L1051" s="50" t="str">
        <f>VLOOKUP(K1051,'Base -Receita-Despesa'!$B:$P,1,FALSE)</f>
        <v>Outras Saídas</v>
      </c>
    </row>
    <row r="1052" spans="1:12" ht="15" customHeight="1" x14ac:dyDescent="0.3">
      <c r="A1052" s="82" t="str">
        <f t="shared" si="32"/>
        <v>2016</v>
      </c>
      <c r="B1052" s="72" t="s">
        <v>131</v>
      </c>
      <c r="C1052" s="73" t="s">
        <v>132</v>
      </c>
      <c r="D1052" s="74" t="str">
        <f t="shared" si="33"/>
        <v>mai/2016</v>
      </c>
      <c r="E1052" s="53">
        <v>42502</v>
      </c>
      <c r="F1052" s="75" t="s">
        <v>840</v>
      </c>
      <c r="G1052" s="72"/>
      <c r="H1052" s="49" t="s">
        <v>863</v>
      </c>
      <c r="I1052" s="49" t="s">
        <v>129</v>
      </c>
      <c r="J1052" s="76">
        <v>-7.85</v>
      </c>
      <c r="K1052" s="83" t="str">
        <f>IFERROR(IFERROR(VLOOKUP(I1052,'DE-PARA'!B:D,3,0),VLOOKUP(I1052,'DE-PARA'!C:D,2,0)),"NÃO ENCONTRADO")</f>
        <v>Outras Saídas</v>
      </c>
      <c r="L1052" s="50" t="str">
        <f>VLOOKUP(K1052,'Base -Receita-Despesa'!$B:$P,1,FALSE)</f>
        <v>Outras Saídas</v>
      </c>
    </row>
    <row r="1053" spans="1:12" ht="15" customHeight="1" x14ac:dyDescent="0.3">
      <c r="A1053" s="82" t="str">
        <f t="shared" si="32"/>
        <v>2016</v>
      </c>
      <c r="B1053" s="72" t="s">
        <v>131</v>
      </c>
      <c r="C1053" s="73" t="s">
        <v>132</v>
      </c>
      <c r="D1053" s="74" t="str">
        <f t="shared" si="33"/>
        <v>mai/2016</v>
      </c>
      <c r="E1053" s="53">
        <v>42502</v>
      </c>
      <c r="F1053" s="75" t="s">
        <v>840</v>
      </c>
      <c r="G1053" s="72"/>
      <c r="H1053" s="49" t="s">
        <v>863</v>
      </c>
      <c r="I1053" s="49" t="s">
        <v>129</v>
      </c>
      <c r="J1053" s="76">
        <v>-7.85</v>
      </c>
      <c r="K1053" s="83" t="str">
        <f>IFERROR(IFERROR(VLOOKUP(I1053,'DE-PARA'!B:D,3,0),VLOOKUP(I1053,'DE-PARA'!C:D,2,0)),"NÃO ENCONTRADO")</f>
        <v>Outras Saídas</v>
      </c>
      <c r="L1053" s="50" t="str">
        <f>VLOOKUP(K1053,'Base -Receita-Despesa'!$B:$P,1,FALSE)</f>
        <v>Outras Saídas</v>
      </c>
    </row>
    <row r="1054" spans="1:12" ht="15" customHeight="1" x14ac:dyDescent="0.3">
      <c r="A1054" s="82" t="str">
        <f t="shared" si="32"/>
        <v>2016</v>
      </c>
      <c r="B1054" s="72" t="s">
        <v>131</v>
      </c>
      <c r="C1054" s="73" t="s">
        <v>132</v>
      </c>
      <c r="D1054" s="74" t="str">
        <f t="shared" si="33"/>
        <v>mai/2016</v>
      </c>
      <c r="E1054" s="53">
        <v>42502</v>
      </c>
      <c r="F1054" s="75" t="s">
        <v>840</v>
      </c>
      <c r="G1054" s="72"/>
      <c r="H1054" s="49" t="s">
        <v>863</v>
      </c>
      <c r="I1054" s="49" t="s">
        <v>129</v>
      </c>
      <c r="J1054" s="76">
        <v>-7.85</v>
      </c>
      <c r="K1054" s="83" t="str">
        <f>IFERROR(IFERROR(VLOOKUP(I1054,'DE-PARA'!B:D,3,0),VLOOKUP(I1054,'DE-PARA'!C:D,2,0)),"NÃO ENCONTRADO")</f>
        <v>Outras Saídas</v>
      </c>
      <c r="L1054" s="50" t="str">
        <f>VLOOKUP(K1054,'Base -Receita-Despesa'!$B:$P,1,FALSE)</f>
        <v>Outras Saídas</v>
      </c>
    </row>
    <row r="1055" spans="1:12" ht="15" customHeight="1" x14ac:dyDescent="0.3">
      <c r="A1055" s="82" t="str">
        <f t="shared" si="32"/>
        <v>2016</v>
      </c>
      <c r="B1055" s="72" t="s">
        <v>131</v>
      </c>
      <c r="C1055" s="73" t="s">
        <v>132</v>
      </c>
      <c r="D1055" s="74" t="str">
        <f t="shared" si="33"/>
        <v>mai/2016</v>
      </c>
      <c r="E1055" s="53">
        <v>42502</v>
      </c>
      <c r="F1055" s="75" t="s">
        <v>840</v>
      </c>
      <c r="G1055" s="72"/>
      <c r="H1055" s="49" t="s">
        <v>863</v>
      </c>
      <c r="I1055" s="49" t="s">
        <v>129</v>
      </c>
      <c r="J1055" s="76">
        <v>-7.85</v>
      </c>
      <c r="K1055" s="83" t="str">
        <f>IFERROR(IFERROR(VLOOKUP(I1055,'DE-PARA'!B:D,3,0),VLOOKUP(I1055,'DE-PARA'!C:D,2,0)),"NÃO ENCONTRADO")</f>
        <v>Outras Saídas</v>
      </c>
      <c r="L1055" s="50" t="str">
        <f>VLOOKUP(K1055,'Base -Receita-Despesa'!$B:$P,1,FALSE)</f>
        <v>Outras Saídas</v>
      </c>
    </row>
    <row r="1056" spans="1:12" ht="15" customHeight="1" x14ac:dyDescent="0.3">
      <c r="A1056" s="82" t="str">
        <f t="shared" si="32"/>
        <v>2016</v>
      </c>
      <c r="B1056" s="72" t="s">
        <v>131</v>
      </c>
      <c r="C1056" s="73" t="s">
        <v>132</v>
      </c>
      <c r="D1056" s="74" t="str">
        <f t="shared" si="33"/>
        <v>mai/2016</v>
      </c>
      <c r="E1056" s="53">
        <v>42502</v>
      </c>
      <c r="F1056" s="75" t="s">
        <v>902</v>
      </c>
      <c r="G1056" s="72"/>
      <c r="H1056" s="49" t="s">
        <v>220</v>
      </c>
      <c r="I1056" s="49" t="s">
        <v>180</v>
      </c>
      <c r="J1056" s="76">
        <v>-2250</v>
      </c>
      <c r="K1056" s="83" t="str">
        <f>IFERROR(IFERROR(VLOOKUP(I1056,'DE-PARA'!B:D,3,0),VLOOKUP(I1056,'DE-PARA'!C:D,2,0)),"NÃO ENCONTRADO")</f>
        <v>Serviços</v>
      </c>
      <c r="L1056" s="50" t="str">
        <f>VLOOKUP(K1056,'Base -Receita-Despesa'!$B:$P,1,FALSE)</f>
        <v>Serviços</v>
      </c>
    </row>
    <row r="1057" spans="1:12" ht="15" customHeight="1" x14ac:dyDescent="0.3">
      <c r="A1057" s="82" t="str">
        <f t="shared" si="32"/>
        <v>2016</v>
      </c>
      <c r="B1057" s="72" t="s">
        <v>131</v>
      </c>
      <c r="C1057" s="73" t="s">
        <v>132</v>
      </c>
      <c r="D1057" s="74" t="str">
        <f t="shared" si="33"/>
        <v>mai/2016</v>
      </c>
      <c r="E1057" s="53">
        <v>42502</v>
      </c>
      <c r="F1057" s="75" t="s">
        <v>903</v>
      </c>
      <c r="G1057" s="72"/>
      <c r="H1057" s="49" t="s">
        <v>904</v>
      </c>
      <c r="I1057" s="49" t="s">
        <v>905</v>
      </c>
      <c r="J1057" s="76">
        <v>-831.66</v>
      </c>
      <c r="K1057" s="83" t="str">
        <f>IFERROR(IFERROR(VLOOKUP(I1057,'DE-PARA'!B:D,3,0),VLOOKUP(I1057,'DE-PARA'!C:D,2,0)),"NÃO ENCONTRADO")</f>
        <v>Materiais</v>
      </c>
      <c r="L1057" s="50" t="str">
        <f>VLOOKUP(K1057,'Base -Receita-Despesa'!$B:$P,1,FALSE)</f>
        <v>Materiais</v>
      </c>
    </row>
    <row r="1058" spans="1:12" ht="15" customHeight="1" x14ac:dyDescent="0.3">
      <c r="A1058" s="82" t="str">
        <f t="shared" si="32"/>
        <v>2016</v>
      </c>
      <c r="B1058" s="72" t="s">
        <v>131</v>
      </c>
      <c r="C1058" s="73" t="s">
        <v>132</v>
      </c>
      <c r="D1058" s="74" t="str">
        <f t="shared" si="33"/>
        <v>mai/2016</v>
      </c>
      <c r="E1058" s="53">
        <v>42502</v>
      </c>
      <c r="F1058" s="75" t="s">
        <v>906</v>
      </c>
      <c r="G1058" s="72"/>
      <c r="H1058" s="49" t="s">
        <v>203</v>
      </c>
      <c r="I1058" s="49" t="s">
        <v>204</v>
      </c>
      <c r="J1058" s="76">
        <v>-7000</v>
      </c>
      <c r="K1058" s="83" t="str">
        <f>IFERROR(IFERROR(VLOOKUP(I1058,'DE-PARA'!B:D,3,0),VLOOKUP(I1058,'DE-PARA'!C:D,2,0)),"NÃO ENCONTRADO")</f>
        <v>Serviços</v>
      </c>
      <c r="L1058" s="50" t="str">
        <f>VLOOKUP(K1058,'Base -Receita-Despesa'!$B:$P,1,FALSE)</f>
        <v>Serviços</v>
      </c>
    </row>
    <row r="1059" spans="1:12" ht="15" customHeight="1" x14ac:dyDescent="0.3">
      <c r="A1059" s="82" t="str">
        <f t="shared" si="32"/>
        <v>2016</v>
      </c>
      <c r="B1059" s="72" t="s">
        <v>131</v>
      </c>
      <c r="C1059" s="73" t="s">
        <v>132</v>
      </c>
      <c r="D1059" s="74" t="str">
        <f t="shared" si="33"/>
        <v>mai/2016</v>
      </c>
      <c r="E1059" s="53">
        <v>42502</v>
      </c>
      <c r="F1059" s="75" t="s">
        <v>907</v>
      </c>
      <c r="G1059" s="72"/>
      <c r="H1059" s="49" t="s">
        <v>205</v>
      </c>
      <c r="I1059" s="49" t="s">
        <v>206</v>
      </c>
      <c r="J1059" s="76">
        <v>-8500</v>
      </c>
      <c r="K1059" s="83" t="str">
        <f>IFERROR(IFERROR(VLOOKUP(I1059,'DE-PARA'!B:D,3,0),VLOOKUP(I1059,'DE-PARA'!C:D,2,0)),"NÃO ENCONTRADO")</f>
        <v>Serviços</v>
      </c>
      <c r="L1059" s="50" t="str">
        <f>VLOOKUP(K1059,'Base -Receita-Despesa'!$B:$P,1,FALSE)</f>
        <v>Serviços</v>
      </c>
    </row>
    <row r="1060" spans="1:12" ht="15" customHeight="1" x14ac:dyDescent="0.3">
      <c r="A1060" s="82" t="str">
        <f t="shared" si="32"/>
        <v>2016</v>
      </c>
      <c r="B1060" s="72" t="s">
        <v>131</v>
      </c>
      <c r="C1060" s="73" t="s">
        <v>132</v>
      </c>
      <c r="D1060" s="74" t="str">
        <f t="shared" si="33"/>
        <v>mai/2016</v>
      </c>
      <c r="E1060" s="53">
        <v>42502</v>
      </c>
      <c r="F1060" s="75" t="s">
        <v>908</v>
      </c>
      <c r="G1060" s="72"/>
      <c r="H1060" s="49" t="s">
        <v>558</v>
      </c>
      <c r="I1060" s="49" t="s">
        <v>171</v>
      </c>
      <c r="J1060" s="76">
        <v>-1300</v>
      </c>
      <c r="K1060" s="83" t="str">
        <f>IFERROR(IFERROR(VLOOKUP(I1060,'DE-PARA'!B:D,3,0),VLOOKUP(I1060,'DE-PARA'!C:D,2,0)),"NÃO ENCONTRADO")</f>
        <v>Serviços</v>
      </c>
      <c r="L1060" s="50" t="str">
        <f>VLOOKUP(K1060,'Base -Receita-Despesa'!$B:$P,1,FALSE)</f>
        <v>Serviços</v>
      </c>
    </row>
    <row r="1061" spans="1:12" ht="15" customHeight="1" x14ac:dyDescent="0.3">
      <c r="A1061" s="82" t="str">
        <f t="shared" si="32"/>
        <v>2016</v>
      </c>
      <c r="B1061" s="72" t="s">
        <v>131</v>
      </c>
      <c r="C1061" s="73" t="s">
        <v>132</v>
      </c>
      <c r="D1061" s="74" t="str">
        <f t="shared" si="33"/>
        <v>mai/2016</v>
      </c>
      <c r="E1061" s="53">
        <v>42502</v>
      </c>
      <c r="F1061" s="75" t="s">
        <v>909</v>
      </c>
      <c r="G1061" s="72"/>
      <c r="H1061" s="49" t="s">
        <v>503</v>
      </c>
      <c r="I1061" s="49" t="s">
        <v>159</v>
      </c>
      <c r="J1061" s="76">
        <v>-227.88</v>
      </c>
      <c r="K1061" s="83" t="str">
        <f>IFERROR(IFERROR(VLOOKUP(I1061,'DE-PARA'!B:D,3,0),VLOOKUP(I1061,'DE-PARA'!C:D,2,0)),"NÃO ENCONTRADO")</f>
        <v>Materiais</v>
      </c>
      <c r="L1061" s="50" t="str">
        <f>VLOOKUP(K1061,'Base -Receita-Despesa'!$B:$P,1,FALSE)</f>
        <v>Materiais</v>
      </c>
    </row>
    <row r="1062" spans="1:12" ht="15" customHeight="1" x14ac:dyDescent="0.3">
      <c r="A1062" s="82" t="str">
        <f t="shared" si="32"/>
        <v>2016</v>
      </c>
      <c r="B1062" s="72" t="s">
        <v>131</v>
      </c>
      <c r="C1062" s="73" t="s">
        <v>132</v>
      </c>
      <c r="D1062" s="74" t="str">
        <f t="shared" si="33"/>
        <v>mai/2016</v>
      </c>
      <c r="E1062" s="53">
        <v>42502</v>
      </c>
      <c r="F1062" s="75" t="s">
        <v>910</v>
      </c>
      <c r="G1062" s="72"/>
      <c r="H1062" s="49" t="s">
        <v>503</v>
      </c>
      <c r="I1062" s="49" t="s">
        <v>159</v>
      </c>
      <c r="J1062" s="76">
        <v>-277.8</v>
      </c>
      <c r="K1062" s="83" t="str">
        <f>IFERROR(IFERROR(VLOOKUP(I1062,'DE-PARA'!B:D,3,0),VLOOKUP(I1062,'DE-PARA'!C:D,2,0)),"NÃO ENCONTRADO")</f>
        <v>Materiais</v>
      </c>
      <c r="L1062" s="50" t="str">
        <f>VLOOKUP(K1062,'Base -Receita-Despesa'!$B:$P,1,FALSE)</f>
        <v>Materiais</v>
      </c>
    </row>
    <row r="1063" spans="1:12" ht="15" customHeight="1" x14ac:dyDescent="0.3">
      <c r="A1063" s="82" t="str">
        <f t="shared" si="32"/>
        <v>2016</v>
      </c>
      <c r="B1063" s="72" t="s">
        <v>131</v>
      </c>
      <c r="C1063" s="73" t="s">
        <v>132</v>
      </c>
      <c r="D1063" s="74" t="str">
        <f t="shared" si="33"/>
        <v>mai/2016</v>
      </c>
      <c r="E1063" s="53">
        <v>42502</v>
      </c>
      <c r="F1063" s="75" t="s">
        <v>911</v>
      </c>
      <c r="G1063" s="72"/>
      <c r="H1063" s="49" t="s">
        <v>503</v>
      </c>
      <c r="I1063" s="49" t="s">
        <v>159</v>
      </c>
      <c r="J1063" s="76">
        <v>-1389</v>
      </c>
      <c r="K1063" s="83" t="str">
        <f>IFERROR(IFERROR(VLOOKUP(I1063,'DE-PARA'!B:D,3,0),VLOOKUP(I1063,'DE-PARA'!C:D,2,0)),"NÃO ENCONTRADO")</f>
        <v>Materiais</v>
      </c>
      <c r="L1063" s="50" t="str">
        <f>VLOOKUP(K1063,'Base -Receita-Despesa'!$B:$P,1,FALSE)</f>
        <v>Materiais</v>
      </c>
    </row>
    <row r="1064" spans="1:12" ht="15" customHeight="1" x14ac:dyDescent="0.3">
      <c r="A1064" s="82" t="str">
        <f t="shared" si="32"/>
        <v>2016</v>
      </c>
      <c r="B1064" s="72" t="s">
        <v>131</v>
      </c>
      <c r="C1064" s="73" t="s">
        <v>132</v>
      </c>
      <c r="D1064" s="74" t="str">
        <f t="shared" si="33"/>
        <v>mai/2016</v>
      </c>
      <c r="E1064" s="53">
        <v>42502</v>
      </c>
      <c r="F1064" s="75" t="s">
        <v>912</v>
      </c>
      <c r="G1064" s="72"/>
      <c r="H1064" s="49" t="s">
        <v>179</v>
      </c>
      <c r="I1064" s="49" t="s">
        <v>180</v>
      </c>
      <c r="J1064" s="76">
        <v>-33655.65</v>
      </c>
      <c r="K1064" s="83" t="str">
        <f>IFERROR(IFERROR(VLOOKUP(I1064,'DE-PARA'!B:D,3,0),VLOOKUP(I1064,'DE-PARA'!C:D,2,0)),"NÃO ENCONTRADO")</f>
        <v>Serviços</v>
      </c>
      <c r="L1064" s="50" t="str">
        <f>VLOOKUP(K1064,'Base -Receita-Despesa'!$B:$P,1,FALSE)</f>
        <v>Serviços</v>
      </c>
    </row>
    <row r="1065" spans="1:12" ht="15" customHeight="1" x14ac:dyDescent="0.3">
      <c r="A1065" s="82" t="str">
        <f t="shared" si="32"/>
        <v>2016</v>
      </c>
      <c r="B1065" s="72" t="s">
        <v>131</v>
      </c>
      <c r="C1065" s="73" t="s">
        <v>132</v>
      </c>
      <c r="D1065" s="74" t="str">
        <f t="shared" si="33"/>
        <v>mai/2016</v>
      </c>
      <c r="E1065" s="53">
        <v>42502</v>
      </c>
      <c r="F1065" s="75" t="s">
        <v>913</v>
      </c>
      <c r="G1065" s="72"/>
      <c r="H1065" s="49" t="s">
        <v>211</v>
      </c>
      <c r="I1065" s="49" t="s">
        <v>157</v>
      </c>
      <c r="J1065" s="76">
        <v>-7000</v>
      </c>
      <c r="K1065" s="83" t="str">
        <f>IFERROR(IFERROR(VLOOKUP(I1065,'DE-PARA'!B:D,3,0),VLOOKUP(I1065,'DE-PARA'!C:D,2,0)),"NÃO ENCONTRADO")</f>
        <v>Concessionárias (água, luz e telefone)</v>
      </c>
      <c r="L1065" s="50" t="str">
        <f>VLOOKUP(K1065,'Base -Receita-Despesa'!$B:$P,1,FALSE)</f>
        <v>Concessionárias (água, luz e telefone)</v>
      </c>
    </row>
    <row r="1066" spans="1:12" ht="15" customHeight="1" x14ac:dyDescent="0.3">
      <c r="A1066" s="82" t="str">
        <f t="shared" si="32"/>
        <v>2016</v>
      </c>
      <c r="B1066" s="72" t="s">
        <v>131</v>
      </c>
      <c r="C1066" s="73" t="s">
        <v>132</v>
      </c>
      <c r="D1066" s="74" t="str">
        <f t="shared" si="33"/>
        <v>mai/2016</v>
      </c>
      <c r="E1066" s="53">
        <v>42502</v>
      </c>
      <c r="F1066" s="75" t="s">
        <v>857</v>
      </c>
      <c r="G1066" s="72"/>
      <c r="H1066" s="49" t="s">
        <v>225</v>
      </c>
      <c r="I1066" s="49" t="s">
        <v>110</v>
      </c>
      <c r="J1066" s="76">
        <v>-9300</v>
      </c>
      <c r="K1066" s="83" t="str">
        <f>IFERROR(IFERROR(VLOOKUP(I1066,'DE-PARA'!B:D,3,0),VLOOKUP(I1066,'DE-PARA'!C:D,2,0)),"NÃO ENCONTRADO")</f>
        <v>Serviços</v>
      </c>
      <c r="L1066" s="50" t="str">
        <f>VLOOKUP(K1066,'Base -Receita-Despesa'!$B:$P,1,FALSE)</f>
        <v>Serviços</v>
      </c>
    </row>
    <row r="1067" spans="1:12" ht="15" customHeight="1" x14ac:dyDescent="0.3">
      <c r="A1067" s="82" t="str">
        <f t="shared" si="32"/>
        <v>2016</v>
      </c>
      <c r="B1067" s="72" t="s">
        <v>131</v>
      </c>
      <c r="C1067" s="73" t="s">
        <v>132</v>
      </c>
      <c r="D1067" s="74" t="str">
        <f t="shared" si="33"/>
        <v>mai/2016</v>
      </c>
      <c r="E1067" s="53">
        <v>42502</v>
      </c>
      <c r="F1067" s="75" t="s">
        <v>914</v>
      </c>
      <c r="G1067" s="72"/>
      <c r="H1067" s="49" t="s">
        <v>226</v>
      </c>
      <c r="I1067" s="49" t="s">
        <v>177</v>
      </c>
      <c r="J1067" s="76">
        <v>-4254.46</v>
      </c>
      <c r="K1067" s="83" t="str">
        <f>IFERROR(IFERROR(VLOOKUP(I1067,'DE-PARA'!B:D,3,0),VLOOKUP(I1067,'DE-PARA'!C:D,2,0)),"NÃO ENCONTRADO")</f>
        <v>Materiais</v>
      </c>
      <c r="L1067" s="50" t="str">
        <f>VLOOKUP(K1067,'Base -Receita-Despesa'!$B:$P,1,FALSE)</f>
        <v>Materiais</v>
      </c>
    </row>
    <row r="1068" spans="1:12" ht="15" customHeight="1" x14ac:dyDescent="0.3">
      <c r="A1068" s="82" t="str">
        <f t="shared" si="32"/>
        <v>2016</v>
      </c>
      <c r="B1068" s="72" t="s">
        <v>131</v>
      </c>
      <c r="C1068" s="73" t="s">
        <v>132</v>
      </c>
      <c r="D1068" s="74" t="str">
        <f t="shared" si="33"/>
        <v>mai/2016</v>
      </c>
      <c r="E1068" s="53">
        <v>42502</v>
      </c>
      <c r="F1068" s="75" t="s">
        <v>915</v>
      </c>
      <c r="G1068" s="72"/>
      <c r="H1068" s="49" t="s">
        <v>212</v>
      </c>
      <c r="I1068" s="49" t="s">
        <v>138</v>
      </c>
      <c r="J1068" s="76">
        <v>-4707.62</v>
      </c>
      <c r="K1068" s="83" t="str">
        <f>IFERROR(IFERROR(VLOOKUP(I1068,'DE-PARA'!B:D,3,0),VLOOKUP(I1068,'DE-PARA'!C:D,2,0)),"NÃO ENCONTRADO")</f>
        <v>Serviços</v>
      </c>
      <c r="L1068" s="50" t="str">
        <f>VLOOKUP(K1068,'Base -Receita-Despesa'!$B:$P,1,FALSE)</f>
        <v>Serviços</v>
      </c>
    </row>
    <row r="1069" spans="1:12" ht="15" customHeight="1" x14ac:dyDescent="0.3">
      <c r="A1069" s="82" t="str">
        <f t="shared" si="32"/>
        <v>2016</v>
      </c>
      <c r="B1069" s="72" t="s">
        <v>131</v>
      </c>
      <c r="C1069" s="73" t="s">
        <v>132</v>
      </c>
      <c r="D1069" s="74" t="str">
        <f t="shared" si="33"/>
        <v>mai/2016</v>
      </c>
      <c r="E1069" s="53">
        <v>42502</v>
      </c>
      <c r="F1069" s="75" t="s">
        <v>916</v>
      </c>
      <c r="G1069" s="72"/>
      <c r="H1069" s="49" t="s">
        <v>214</v>
      </c>
      <c r="I1069" s="49" t="s">
        <v>114</v>
      </c>
      <c r="J1069" s="76">
        <v>-6314.35</v>
      </c>
      <c r="K1069" s="83" t="str">
        <f>IFERROR(IFERROR(VLOOKUP(I1069,'DE-PARA'!B:D,3,0),VLOOKUP(I1069,'DE-PARA'!C:D,2,0)),"NÃO ENCONTRADO")</f>
        <v>Serviços</v>
      </c>
      <c r="L1069" s="50" t="str">
        <f>VLOOKUP(K1069,'Base -Receita-Despesa'!$B:$P,1,FALSE)</f>
        <v>Serviços</v>
      </c>
    </row>
    <row r="1070" spans="1:12" ht="15" customHeight="1" x14ac:dyDescent="0.3">
      <c r="A1070" s="82" t="str">
        <f t="shared" si="32"/>
        <v>2016</v>
      </c>
      <c r="B1070" s="72" t="s">
        <v>131</v>
      </c>
      <c r="C1070" s="73" t="s">
        <v>132</v>
      </c>
      <c r="D1070" s="74" t="str">
        <f t="shared" si="33"/>
        <v>mai/2016</v>
      </c>
      <c r="E1070" s="53">
        <v>42502</v>
      </c>
      <c r="F1070" s="75" t="s">
        <v>917</v>
      </c>
      <c r="G1070" s="72"/>
      <c r="H1070" s="49" t="s">
        <v>214</v>
      </c>
      <c r="I1070" s="49" t="s">
        <v>114</v>
      </c>
      <c r="J1070" s="76">
        <v>-4185.6499999999996</v>
      </c>
      <c r="K1070" s="83" t="str">
        <f>IFERROR(IFERROR(VLOOKUP(I1070,'DE-PARA'!B:D,3,0),VLOOKUP(I1070,'DE-PARA'!C:D,2,0)),"NÃO ENCONTRADO")</f>
        <v>Serviços</v>
      </c>
      <c r="L1070" s="50" t="str">
        <f>VLOOKUP(K1070,'Base -Receita-Despesa'!$B:$P,1,FALSE)</f>
        <v>Serviços</v>
      </c>
    </row>
    <row r="1071" spans="1:12" ht="15" customHeight="1" x14ac:dyDescent="0.3">
      <c r="A1071" s="82" t="str">
        <f t="shared" si="32"/>
        <v>2016</v>
      </c>
      <c r="B1071" s="72" t="s">
        <v>131</v>
      </c>
      <c r="C1071" s="73" t="s">
        <v>132</v>
      </c>
      <c r="D1071" s="74" t="str">
        <f t="shared" si="33"/>
        <v>mai/2016</v>
      </c>
      <c r="E1071" s="53">
        <v>42502</v>
      </c>
      <c r="F1071" s="75" t="s">
        <v>918</v>
      </c>
      <c r="G1071" s="72"/>
      <c r="H1071" s="49" t="s">
        <v>214</v>
      </c>
      <c r="I1071" s="49" t="s">
        <v>114</v>
      </c>
      <c r="J1071" s="76">
        <v>-65940.33</v>
      </c>
      <c r="K1071" s="83" t="str">
        <f>IFERROR(IFERROR(VLOOKUP(I1071,'DE-PARA'!B:D,3,0),VLOOKUP(I1071,'DE-PARA'!C:D,2,0)),"NÃO ENCONTRADO")</f>
        <v>Serviços</v>
      </c>
      <c r="L1071" s="50" t="str">
        <f>VLOOKUP(K1071,'Base -Receita-Despesa'!$B:$P,1,FALSE)</f>
        <v>Serviços</v>
      </c>
    </row>
    <row r="1072" spans="1:12" ht="15" customHeight="1" x14ac:dyDescent="0.3">
      <c r="A1072" s="82" t="str">
        <f t="shared" si="32"/>
        <v>2016</v>
      </c>
      <c r="B1072" s="72" t="s">
        <v>131</v>
      </c>
      <c r="C1072" s="73" t="s">
        <v>132</v>
      </c>
      <c r="D1072" s="74" t="str">
        <f t="shared" si="33"/>
        <v>mai/2016</v>
      </c>
      <c r="E1072" s="53">
        <v>42502</v>
      </c>
      <c r="F1072" s="75" t="s">
        <v>919</v>
      </c>
      <c r="G1072" s="72"/>
      <c r="H1072" s="49" t="s">
        <v>214</v>
      </c>
      <c r="I1072" s="49" t="s">
        <v>114</v>
      </c>
      <c r="J1072" s="76">
        <v>-72737.22</v>
      </c>
      <c r="K1072" s="83" t="str">
        <f>IFERROR(IFERROR(VLOOKUP(I1072,'DE-PARA'!B:D,3,0),VLOOKUP(I1072,'DE-PARA'!C:D,2,0)),"NÃO ENCONTRADO")</f>
        <v>Serviços</v>
      </c>
      <c r="L1072" s="50" t="str">
        <f>VLOOKUP(K1072,'Base -Receita-Despesa'!$B:$P,1,FALSE)</f>
        <v>Serviços</v>
      </c>
    </row>
    <row r="1073" spans="1:12" ht="15" customHeight="1" x14ac:dyDescent="0.3">
      <c r="A1073" s="82" t="str">
        <f t="shared" si="32"/>
        <v>2016</v>
      </c>
      <c r="B1073" s="72" t="s">
        <v>131</v>
      </c>
      <c r="C1073" s="73" t="s">
        <v>132</v>
      </c>
      <c r="D1073" s="74" t="str">
        <f t="shared" si="33"/>
        <v>mai/2016</v>
      </c>
      <c r="E1073" s="53">
        <v>42502</v>
      </c>
      <c r="F1073" s="75" t="s">
        <v>920</v>
      </c>
      <c r="G1073" s="72"/>
      <c r="H1073" s="49" t="s">
        <v>214</v>
      </c>
      <c r="I1073" s="49" t="s">
        <v>114</v>
      </c>
      <c r="J1073" s="76">
        <v>-74598.39</v>
      </c>
      <c r="K1073" s="83" t="str">
        <f>IFERROR(IFERROR(VLOOKUP(I1073,'DE-PARA'!B:D,3,0),VLOOKUP(I1073,'DE-PARA'!C:D,2,0)),"NÃO ENCONTRADO")</f>
        <v>Serviços</v>
      </c>
      <c r="L1073" s="50" t="str">
        <f>VLOOKUP(K1073,'Base -Receita-Despesa'!$B:$P,1,FALSE)</f>
        <v>Serviços</v>
      </c>
    </row>
    <row r="1074" spans="1:12" ht="15" customHeight="1" x14ac:dyDescent="0.3">
      <c r="A1074" s="82" t="str">
        <f t="shared" si="32"/>
        <v>2016</v>
      </c>
      <c r="B1074" s="72" t="s">
        <v>131</v>
      </c>
      <c r="C1074" s="73" t="s">
        <v>132</v>
      </c>
      <c r="D1074" s="74" t="str">
        <f t="shared" si="33"/>
        <v>mai/2016</v>
      </c>
      <c r="E1074" s="53">
        <v>42502</v>
      </c>
      <c r="F1074" s="75" t="s">
        <v>921</v>
      </c>
      <c r="G1074" s="72"/>
      <c r="H1074" s="49" t="s">
        <v>214</v>
      </c>
      <c r="I1074" s="49" t="s">
        <v>114</v>
      </c>
      <c r="J1074" s="76">
        <v>-13805.33</v>
      </c>
      <c r="K1074" s="83" t="str">
        <f>IFERROR(IFERROR(VLOOKUP(I1074,'DE-PARA'!B:D,3,0),VLOOKUP(I1074,'DE-PARA'!C:D,2,0)),"NÃO ENCONTRADO")</f>
        <v>Serviços</v>
      </c>
      <c r="L1074" s="50" t="str">
        <f>VLOOKUP(K1074,'Base -Receita-Despesa'!$B:$P,1,FALSE)</f>
        <v>Serviços</v>
      </c>
    </row>
    <row r="1075" spans="1:12" ht="15" customHeight="1" x14ac:dyDescent="0.3">
      <c r="A1075" s="82" t="str">
        <f t="shared" si="32"/>
        <v>2016</v>
      </c>
      <c r="B1075" s="72" t="s">
        <v>131</v>
      </c>
      <c r="C1075" s="73" t="s">
        <v>132</v>
      </c>
      <c r="D1075" s="74" t="str">
        <f t="shared" si="33"/>
        <v>mai/2016</v>
      </c>
      <c r="E1075" s="53">
        <v>42502</v>
      </c>
      <c r="F1075" s="75" t="s">
        <v>922</v>
      </c>
      <c r="G1075" s="72"/>
      <c r="H1075" s="49" t="s">
        <v>215</v>
      </c>
      <c r="I1075" s="49" t="s">
        <v>167</v>
      </c>
      <c r="J1075" s="76">
        <v>-880</v>
      </c>
      <c r="K1075" s="83" t="str">
        <f>IFERROR(IFERROR(VLOOKUP(I1075,'DE-PARA'!B:D,3,0),VLOOKUP(I1075,'DE-PARA'!C:D,2,0)),"NÃO ENCONTRADO")</f>
        <v>Materiais</v>
      </c>
      <c r="L1075" s="50" t="str">
        <f>VLOOKUP(K1075,'Base -Receita-Despesa'!$B:$P,1,FALSE)</f>
        <v>Materiais</v>
      </c>
    </row>
    <row r="1076" spans="1:12" ht="15" customHeight="1" x14ac:dyDescent="0.3">
      <c r="A1076" s="82" t="str">
        <f t="shared" si="32"/>
        <v>2016</v>
      </c>
      <c r="B1076" s="72" t="s">
        <v>131</v>
      </c>
      <c r="C1076" s="73" t="s">
        <v>132</v>
      </c>
      <c r="D1076" s="74" t="str">
        <f t="shared" si="33"/>
        <v>mai/2016</v>
      </c>
      <c r="E1076" s="53">
        <v>42502</v>
      </c>
      <c r="F1076" s="75" t="s">
        <v>923</v>
      </c>
      <c r="G1076" s="72"/>
      <c r="H1076" s="49" t="s">
        <v>170</v>
      </c>
      <c r="I1076" s="49" t="s">
        <v>171</v>
      </c>
      <c r="J1076" s="76">
        <v>-18562.75</v>
      </c>
      <c r="K1076" s="83" t="str">
        <f>IFERROR(IFERROR(VLOOKUP(I1076,'DE-PARA'!B:D,3,0),VLOOKUP(I1076,'DE-PARA'!C:D,2,0)),"NÃO ENCONTRADO")</f>
        <v>Serviços</v>
      </c>
      <c r="L1076" s="50" t="str">
        <f>VLOOKUP(K1076,'Base -Receita-Despesa'!$B:$P,1,FALSE)</f>
        <v>Serviços</v>
      </c>
    </row>
    <row r="1077" spans="1:12" ht="15" customHeight="1" x14ac:dyDescent="0.3">
      <c r="A1077" s="82" t="str">
        <f t="shared" si="32"/>
        <v>2016</v>
      </c>
      <c r="B1077" s="72" t="s">
        <v>131</v>
      </c>
      <c r="C1077" s="73" t="s">
        <v>132</v>
      </c>
      <c r="D1077" s="74" t="str">
        <f t="shared" si="33"/>
        <v>mai/2016</v>
      </c>
      <c r="E1077" s="53">
        <v>42502</v>
      </c>
      <c r="F1077" s="75" t="s">
        <v>925</v>
      </c>
      <c r="G1077" s="72"/>
      <c r="H1077" s="49" t="s">
        <v>218</v>
      </c>
      <c r="I1077" s="49" t="s">
        <v>110</v>
      </c>
      <c r="J1077" s="76">
        <v>-4392</v>
      </c>
      <c r="K1077" s="83" t="str">
        <f>IFERROR(IFERROR(VLOOKUP(I1077,'DE-PARA'!B:D,3,0),VLOOKUP(I1077,'DE-PARA'!C:D,2,0)),"NÃO ENCONTRADO")</f>
        <v>Serviços</v>
      </c>
      <c r="L1077" s="50" t="str">
        <f>VLOOKUP(K1077,'Base -Receita-Despesa'!$B:$P,1,FALSE)</f>
        <v>Serviços</v>
      </c>
    </row>
    <row r="1078" spans="1:12" ht="15" customHeight="1" x14ac:dyDescent="0.3">
      <c r="A1078" s="82" t="str">
        <f t="shared" si="32"/>
        <v>2016</v>
      </c>
      <c r="B1078" s="72" t="s">
        <v>131</v>
      </c>
      <c r="C1078" s="73" t="s">
        <v>132</v>
      </c>
      <c r="D1078" s="74" t="str">
        <f t="shared" si="33"/>
        <v>mai/2016</v>
      </c>
      <c r="E1078" s="53">
        <v>42502</v>
      </c>
      <c r="F1078" s="75" t="s">
        <v>926</v>
      </c>
      <c r="G1078" s="72"/>
      <c r="H1078" s="49" t="s">
        <v>190</v>
      </c>
      <c r="I1078" s="49" t="s">
        <v>191</v>
      </c>
      <c r="J1078" s="76">
        <v>-3190.9</v>
      </c>
      <c r="K1078" s="83" t="str">
        <f>IFERROR(IFERROR(VLOOKUP(I1078,'DE-PARA'!B:D,3,0),VLOOKUP(I1078,'DE-PARA'!C:D,2,0)),"NÃO ENCONTRADO")</f>
        <v>Serviços</v>
      </c>
      <c r="L1078" s="50" t="str">
        <f>VLOOKUP(K1078,'Base -Receita-Despesa'!$B:$P,1,FALSE)</f>
        <v>Serviços</v>
      </c>
    </row>
    <row r="1079" spans="1:12" ht="15" customHeight="1" x14ac:dyDescent="0.3">
      <c r="A1079" s="82" t="str">
        <f t="shared" si="32"/>
        <v>2016</v>
      </c>
      <c r="B1079" s="72" t="s">
        <v>131</v>
      </c>
      <c r="C1079" s="73" t="s">
        <v>132</v>
      </c>
      <c r="D1079" s="74" t="str">
        <f t="shared" si="33"/>
        <v>mai/2016</v>
      </c>
      <c r="E1079" s="53">
        <v>42502</v>
      </c>
      <c r="F1079" s="75" t="s">
        <v>1126</v>
      </c>
      <c r="G1079" s="72"/>
      <c r="H1079" s="49" t="s">
        <v>187</v>
      </c>
      <c r="I1079" s="49" t="s">
        <v>159</v>
      </c>
      <c r="J1079" s="76">
        <v>-1261.5999999999999</v>
      </c>
      <c r="K1079" s="83" t="str">
        <f>IFERROR(IFERROR(VLOOKUP(I1079,'DE-PARA'!B:D,3,0),VLOOKUP(I1079,'DE-PARA'!C:D,2,0)),"NÃO ENCONTRADO")</f>
        <v>Materiais</v>
      </c>
      <c r="L1079" s="50" t="str">
        <f>VLOOKUP(K1079,'Base -Receita-Despesa'!$B:$P,1,FALSE)</f>
        <v>Materiais</v>
      </c>
    </row>
    <row r="1080" spans="1:12" ht="15" customHeight="1" x14ac:dyDescent="0.3">
      <c r="A1080" s="82" t="str">
        <f t="shared" si="32"/>
        <v>2016</v>
      </c>
      <c r="B1080" s="72" t="s">
        <v>131</v>
      </c>
      <c r="C1080" s="73" t="s">
        <v>132</v>
      </c>
      <c r="D1080" s="74" t="str">
        <f t="shared" si="33"/>
        <v>mai/2016</v>
      </c>
      <c r="E1080" s="53">
        <v>42503</v>
      </c>
      <c r="F1080" s="75" t="s">
        <v>154</v>
      </c>
      <c r="G1080" s="72"/>
      <c r="H1080" s="49" t="s">
        <v>552</v>
      </c>
      <c r="I1080" s="49" t="s">
        <v>1497</v>
      </c>
      <c r="J1080" s="76">
        <v>237000</v>
      </c>
      <c r="K1080" s="83" t="str">
        <f>IFERROR(IFERROR(VLOOKUP(I1080,'DE-PARA'!B:D,3,0),VLOOKUP(I1080,'DE-PARA'!C:D,2,0)),"NÃO ENCONTRADO")</f>
        <v>Repasses Contrato de Gestão</v>
      </c>
      <c r="L1080" s="50" t="str">
        <f>VLOOKUP(K1080,'Base -Receita-Despesa'!$B:$P,1,FALSE)</f>
        <v>Repasses Contrato de Gestão</v>
      </c>
    </row>
    <row r="1081" spans="1:12" ht="15" customHeight="1" x14ac:dyDescent="0.3">
      <c r="A1081" s="82" t="str">
        <f t="shared" si="32"/>
        <v>2016</v>
      </c>
      <c r="B1081" s="72" t="s">
        <v>131</v>
      </c>
      <c r="C1081" s="73" t="s">
        <v>132</v>
      </c>
      <c r="D1081" s="74" t="str">
        <f t="shared" si="33"/>
        <v>mai/2016</v>
      </c>
      <c r="E1081" s="53">
        <v>42503</v>
      </c>
      <c r="F1081" s="75" t="s">
        <v>927</v>
      </c>
      <c r="G1081" s="72"/>
      <c r="H1081" s="49" t="s">
        <v>588</v>
      </c>
      <c r="I1081" s="49" t="s">
        <v>159</v>
      </c>
      <c r="J1081" s="76">
        <v>-746.66</v>
      </c>
      <c r="K1081" s="83" t="str">
        <f>IFERROR(IFERROR(VLOOKUP(I1081,'DE-PARA'!B:D,3,0),VLOOKUP(I1081,'DE-PARA'!C:D,2,0)),"NÃO ENCONTRADO")</f>
        <v>Materiais</v>
      </c>
      <c r="L1081" s="50" t="str">
        <f>VLOOKUP(K1081,'Base -Receita-Despesa'!$B:$P,1,FALSE)</f>
        <v>Materiais</v>
      </c>
    </row>
    <row r="1082" spans="1:12" ht="15" customHeight="1" x14ac:dyDescent="0.3">
      <c r="A1082" s="82" t="str">
        <f t="shared" si="32"/>
        <v>2016</v>
      </c>
      <c r="B1082" s="72" t="s">
        <v>131</v>
      </c>
      <c r="C1082" s="73" t="s">
        <v>132</v>
      </c>
      <c r="D1082" s="74" t="str">
        <f t="shared" si="33"/>
        <v>mai/2016</v>
      </c>
      <c r="E1082" s="53">
        <v>42506</v>
      </c>
      <c r="F1082" s="75" t="s">
        <v>928</v>
      </c>
      <c r="G1082" s="72"/>
      <c r="H1082" s="49" t="s">
        <v>271</v>
      </c>
      <c r="I1082" s="49" t="s">
        <v>138</v>
      </c>
      <c r="J1082" s="76">
        <v>-2450</v>
      </c>
      <c r="K1082" s="83" t="str">
        <f>IFERROR(IFERROR(VLOOKUP(I1082,'DE-PARA'!B:D,3,0),VLOOKUP(I1082,'DE-PARA'!C:D,2,0)),"NÃO ENCONTRADO")</f>
        <v>Serviços</v>
      </c>
      <c r="L1082" s="50" t="str">
        <f>VLOOKUP(K1082,'Base -Receita-Despesa'!$B:$P,1,FALSE)</f>
        <v>Serviços</v>
      </c>
    </row>
    <row r="1083" spans="1:12" ht="15" customHeight="1" x14ac:dyDescent="0.3">
      <c r="A1083" s="82" t="str">
        <f t="shared" si="32"/>
        <v>2016</v>
      </c>
      <c r="B1083" s="72" t="s">
        <v>131</v>
      </c>
      <c r="C1083" s="73" t="s">
        <v>132</v>
      </c>
      <c r="D1083" s="74" t="str">
        <f t="shared" si="33"/>
        <v>mai/2016</v>
      </c>
      <c r="E1083" s="53">
        <v>42506</v>
      </c>
      <c r="F1083" s="75" t="s">
        <v>929</v>
      </c>
      <c r="G1083" s="72"/>
      <c r="H1083" s="49" t="s">
        <v>176</v>
      </c>
      <c r="I1083" s="49" t="s">
        <v>177</v>
      </c>
      <c r="J1083" s="76">
        <v>-3077.26</v>
      </c>
      <c r="K1083" s="83" t="str">
        <f>IFERROR(IFERROR(VLOOKUP(I1083,'DE-PARA'!B:D,3,0),VLOOKUP(I1083,'DE-PARA'!C:D,2,0)),"NÃO ENCONTRADO")</f>
        <v>Materiais</v>
      </c>
      <c r="L1083" s="50" t="str">
        <f>VLOOKUP(K1083,'Base -Receita-Despesa'!$B:$P,1,FALSE)</f>
        <v>Materiais</v>
      </c>
    </row>
    <row r="1084" spans="1:12" ht="15" customHeight="1" x14ac:dyDescent="0.3">
      <c r="A1084" s="82" t="str">
        <f t="shared" si="32"/>
        <v>2016</v>
      </c>
      <c r="B1084" s="72" t="s">
        <v>131</v>
      </c>
      <c r="C1084" s="73" t="s">
        <v>132</v>
      </c>
      <c r="D1084" s="74" t="str">
        <f t="shared" si="33"/>
        <v>mai/2016</v>
      </c>
      <c r="E1084" s="53">
        <v>42506</v>
      </c>
      <c r="F1084" s="75" t="s">
        <v>930</v>
      </c>
      <c r="G1084" s="72"/>
      <c r="H1084" s="49" t="s">
        <v>931</v>
      </c>
      <c r="I1084" s="49" t="s">
        <v>110</v>
      </c>
      <c r="J1084" s="76">
        <v>-3382.63</v>
      </c>
      <c r="K1084" s="83" t="str">
        <f>IFERROR(IFERROR(VLOOKUP(I1084,'DE-PARA'!B:D,3,0),VLOOKUP(I1084,'DE-PARA'!C:D,2,0)),"NÃO ENCONTRADO")</f>
        <v>Serviços</v>
      </c>
      <c r="L1084" s="50" t="str">
        <f>VLOOKUP(K1084,'Base -Receita-Despesa'!$B:$P,1,FALSE)</f>
        <v>Serviços</v>
      </c>
    </row>
    <row r="1085" spans="1:12" ht="15" customHeight="1" x14ac:dyDescent="0.3">
      <c r="A1085" s="82" t="str">
        <f t="shared" si="32"/>
        <v>2016</v>
      </c>
      <c r="B1085" s="72" t="s">
        <v>131</v>
      </c>
      <c r="C1085" s="73" t="s">
        <v>132</v>
      </c>
      <c r="D1085" s="74" t="str">
        <f t="shared" si="33"/>
        <v>mai/2016</v>
      </c>
      <c r="E1085" s="53">
        <v>42506</v>
      </c>
      <c r="F1085" s="75" t="s">
        <v>840</v>
      </c>
      <c r="G1085" s="72"/>
      <c r="H1085" s="49" t="s">
        <v>863</v>
      </c>
      <c r="I1085" s="49" t="s">
        <v>129</v>
      </c>
      <c r="J1085" s="76">
        <v>-7.85</v>
      </c>
      <c r="K1085" s="83" t="str">
        <f>IFERROR(IFERROR(VLOOKUP(I1085,'DE-PARA'!B:D,3,0),VLOOKUP(I1085,'DE-PARA'!C:D,2,0)),"NÃO ENCONTRADO")</f>
        <v>Outras Saídas</v>
      </c>
      <c r="L1085" s="50" t="str">
        <f>VLOOKUP(K1085,'Base -Receita-Despesa'!$B:$P,1,FALSE)</f>
        <v>Outras Saídas</v>
      </c>
    </row>
    <row r="1086" spans="1:12" ht="15" customHeight="1" x14ac:dyDescent="0.3">
      <c r="A1086" s="82" t="str">
        <f t="shared" si="32"/>
        <v>2016</v>
      </c>
      <c r="B1086" s="72" t="s">
        <v>131</v>
      </c>
      <c r="C1086" s="73" t="s">
        <v>132</v>
      </c>
      <c r="D1086" s="74" t="str">
        <f t="shared" si="33"/>
        <v>mai/2016</v>
      </c>
      <c r="E1086" s="53">
        <v>42506</v>
      </c>
      <c r="F1086" s="75" t="s">
        <v>840</v>
      </c>
      <c r="G1086" s="72"/>
      <c r="H1086" s="49" t="s">
        <v>863</v>
      </c>
      <c r="I1086" s="49" t="s">
        <v>129</v>
      </c>
      <c r="J1086" s="76">
        <v>-7.85</v>
      </c>
      <c r="K1086" s="83" t="str">
        <f>IFERROR(IFERROR(VLOOKUP(I1086,'DE-PARA'!B:D,3,0),VLOOKUP(I1086,'DE-PARA'!C:D,2,0)),"NÃO ENCONTRADO")</f>
        <v>Outras Saídas</v>
      </c>
      <c r="L1086" s="50" t="str">
        <f>VLOOKUP(K1086,'Base -Receita-Despesa'!$B:$P,1,FALSE)</f>
        <v>Outras Saídas</v>
      </c>
    </row>
    <row r="1087" spans="1:12" ht="15" customHeight="1" x14ac:dyDescent="0.3">
      <c r="A1087" s="82" t="str">
        <f t="shared" si="32"/>
        <v>2016</v>
      </c>
      <c r="B1087" s="72" t="s">
        <v>131</v>
      </c>
      <c r="C1087" s="73" t="s">
        <v>132</v>
      </c>
      <c r="D1087" s="74" t="str">
        <f t="shared" si="33"/>
        <v>mai/2016</v>
      </c>
      <c r="E1087" s="53">
        <v>42506</v>
      </c>
      <c r="F1087" s="75" t="s">
        <v>164</v>
      </c>
      <c r="G1087" s="72"/>
      <c r="H1087" s="49" t="s">
        <v>932</v>
      </c>
      <c r="I1087" s="49" t="s">
        <v>168</v>
      </c>
      <c r="J1087" s="76">
        <v>-58.32</v>
      </c>
      <c r="K1087" s="83" t="str">
        <f>IFERROR(IFERROR(VLOOKUP(I1087,'DE-PARA'!B:D,3,0),VLOOKUP(I1087,'DE-PARA'!C:D,2,0)),"NÃO ENCONTRADO")</f>
        <v>Pessoal</v>
      </c>
      <c r="L1087" s="50" t="str">
        <f>VLOOKUP(K1087,'Base -Receita-Despesa'!$B:$P,1,FALSE)</f>
        <v>Pessoal</v>
      </c>
    </row>
    <row r="1088" spans="1:12" ht="15" customHeight="1" x14ac:dyDescent="0.3">
      <c r="A1088" s="82" t="str">
        <f t="shared" si="32"/>
        <v>2016</v>
      </c>
      <c r="B1088" s="72" t="s">
        <v>131</v>
      </c>
      <c r="C1088" s="73" t="s">
        <v>132</v>
      </c>
      <c r="D1088" s="74" t="str">
        <f t="shared" si="33"/>
        <v>mai/2016</v>
      </c>
      <c r="E1088" s="53">
        <v>42506</v>
      </c>
      <c r="F1088" s="75" t="s">
        <v>164</v>
      </c>
      <c r="G1088" s="72"/>
      <c r="H1088" s="49" t="s">
        <v>933</v>
      </c>
      <c r="I1088" s="49" t="s">
        <v>168</v>
      </c>
      <c r="J1088" s="76">
        <v>-32.64</v>
      </c>
      <c r="K1088" s="83" t="str">
        <f>IFERROR(IFERROR(VLOOKUP(I1088,'DE-PARA'!B:D,3,0),VLOOKUP(I1088,'DE-PARA'!C:D,2,0)),"NÃO ENCONTRADO")</f>
        <v>Pessoal</v>
      </c>
      <c r="L1088" s="50" t="str">
        <f>VLOOKUP(K1088,'Base -Receita-Despesa'!$B:$P,1,FALSE)</f>
        <v>Pessoal</v>
      </c>
    </row>
    <row r="1089" spans="1:12" ht="15" customHeight="1" x14ac:dyDescent="0.3">
      <c r="A1089" s="82" t="str">
        <f t="shared" si="32"/>
        <v>2016</v>
      </c>
      <c r="B1089" s="72" t="s">
        <v>131</v>
      </c>
      <c r="C1089" s="73" t="s">
        <v>132</v>
      </c>
      <c r="D1089" s="74" t="str">
        <f t="shared" si="33"/>
        <v>mai/2016</v>
      </c>
      <c r="E1089" s="53">
        <v>42506</v>
      </c>
      <c r="F1089" s="75" t="s">
        <v>164</v>
      </c>
      <c r="G1089" s="72"/>
      <c r="H1089" s="49" t="s">
        <v>934</v>
      </c>
      <c r="I1089" s="49" t="s">
        <v>168</v>
      </c>
      <c r="J1089" s="76">
        <v>-62.64</v>
      </c>
      <c r="K1089" s="83" t="str">
        <f>IFERROR(IFERROR(VLOOKUP(I1089,'DE-PARA'!B:D,3,0),VLOOKUP(I1089,'DE-PARA'!C:D,2,0)),"NÃO ENCONTRADO")</f>
        <v>Pessoal</v>
      </c>
      <c r="L1089" s="50" t="str">
        <f>VLOOKUP(K1089,'Base -Receita-Despesa'!$B:$P,1,FALSE)</f>
        <v>Pessoal</v>
      </c>
    </row>
    <row r="1090" spans="1:12" ht="15" customHeight="1" x14ac:dyDescent="0.3">
      <c r="A1090" s="82" t="str">
        <f t="shared" si="32"/>
        <v>2016</v>
      </c>
      <c r="B1090" s="72" t="s">
        <v>131</v>
      </c>
      <c r="C1090" s="73" t="s">
        <v>132</v>
      </c>
      <c r="D1090" s="74" t="str">
        <f t="shared" si="33"/>
        <v>mai/2016</v>
      </c>
      <c r="E1090" s="53">
        <v>42506</v>
      </c>
      <c r="F1090" s="75" t="s">
        <v>164</v>
      </c>
      <c r="G1090" s="72"/>
      <c r="H1090" s="49" t="s">
        <v>935</v>
      </c>
      <c r="I1090" s="49" t="s">
        <v>168</v>
      </c>
      <c r="J1090" s="76">
        <v>-222.64</v>
      </c>
      <c r="K1090" s="83" t="str">
        <f>IFERROR(IFERROR(VLOOKUP(I1090,'DE-PARA'!B:D,3,0),VLOOKUP(I1090,'DE-PARA'!C:D,2,0)),"NÃO ENCONTRADO")</f>
        <v>Pessoal</v>
      </c>
      <c r="L1090" s="50" t="str">
        <f>VLOOKUP(K1090,'Base -Receita-Despesa'!$B:$P,1,FALSE)</f>
        <v>Pessoal</v>
      </c>
    </row>
    <row r="1091" spans="1:12" ht="15" customHeight="1" x14ac:dyDescent="0.3">
      <c r="A1091" s="82" t="str">
        <f t="shared" si="32"/>
        <v>2016</v>
      </c>
      <c r="B1091" s="72" t="s">
        <v>131</v>
      </c>
      <c r="C1091" s="73" t="s">
        <v>132</v>
      </c>
      <c r="D1091" s="74" t="str">
        <f t="shared" si="33"/>
        <v>mai/2016</v>
      </c>
      <c r="E1091" s="53">
        <v>42506</v>
      </c>
      <c r="F1091" s="75" t="s">
        <v>164</v>
      </c>
      <c r="G1091" s="72"/>
      <c r="H1091" s="49" t="s">
        <v>936</v>
      </c>
      <c r="I1091" s="49" t="s">
        <v>168</v>
      </c>
      <c r="J1091" s="76">
        <v>-92.64</v>
      </c>
      <c r="K1091" s="83" t="str">
        <f>IFERROR(IFERROR(VLOOKUP(I1091,'DE-PARA'!B:D,3,0),VLOOKUP(I1091,'DE-PARA'!C:D,2,0)),"NÃO ENCONTRADO")</f>
        <v>Pessoal</v>
      </c>
      <c r="L1091" s="50" t="str">
        <f>VLOOKUP(K1091,'Base -Receita-Despesa'!$B:$P,1,FALSE)</f>
        <v>Pessoal</v>
      </c>
    </row>
    <row r="1092" spans="1:12" ht="15" customHeight="1" x14ac:dyDescent="0.3">
      <c r="A1092" s="82" t="str">
        <f t="shared" ref="A1092:A1155" si="34">IF(K1092="NÃO ENCONTRADO",0,RIGHT(D1092,4))</f>
        <v>2016</v>
      </c>
      <c r="B1092" s="72" t="s">
        <v>131</v>
      </c>
      <c r="C1092" s="73" t="s">
        <v>132</v>
      </c>
      <c r="D1092" s="74" t="str">
        <f t="shared" ref="D1092:D1155" si="35">TEXT(E1092,"mmm/aaaa")</f>
        <v>mai/2016</v>
      </c>
      <c r="E1092" s="53">
        <v>42506</v>
      </c>
      <c r="F1092" s="75" t="s">
        <v>164</v>
      </c>
      <c r="G1092" s="72"/>
      <c r="H1092" s="49" t="s">
        <v>937</v>
      </c>
      <c r="I1092" s="49" t="s">
        <v>114</v>
      </c>
      <c r="J1092" s="76">
        <v>-1635.31</v>
      </c>
      <c r="K1092" s="83" t="str">
        <f>IFERROR(IFERROR(VLOOKUP(I1092,'DE-PARA'!B:D,3,0),VLOOKUP(I1092,'DE-PARA'!C:D,2,0)),"NÃO ENCONTRADO")</f>
        <v>Serviços</v>
      </c>
      <c r="L1092" s="50" t="str">
        <f>VLOOKUP(K1092,'Base -Receita-Despesa'!$B:$P,1,FALSE)</f>
        <v>Serviços</v>
      </c>
    </row>
    <row r="1093" spans="1:12" ht="15" customHeight="1" x14ac:dyDescent="0.3">
      <c r="A1093" s="82" t="str">
        <f t="shared" si="34"/>
        <v>2016</v>
      </c>
      <c r="B1093" s="72" t="s">
        <v>131</v>
      </c>
      <c r="C1093" s="73" t="s">
        <v>132</v>
      </c>
      <c r="D1093" s="74" t="str">
        <f t="shared" si="35"/>
        <v>mai/2016</v>
      </c>
      <c r="E1093" s="53">
        <v>42506</v>
      </c>
      <c r="F1093" s="75" t="s">
        <v>164</v>
      </c>
      <c r="G1093" s="72"/>
      <c r="H1093" s="49" t="s">
        <v>938</v>
      </c>
      <c r="I1093" s="49" t="s">
        <v>113</v>
      </c>
      <c r="J1093" s="76">
        <v>-495.82</v>
      </c>
      <c r="K1093" s="83" t="str">
        <f>IFERROR(IFERROR(VLOOKUP(I1093,'DE-PARA'!B:D,3,0),VLOOKUP(I1093,'DE-PARA'!C:D,2,0)),"NÃO ENCONTRADO")</f>
        <v>Serviços</v>
      </c>
      <c r="L1093" s="50" t="str">
        <f>VLOOKUP(K1093,'Base -Receita-Despesa'!$B:$P,1,FALSE)</f>
        <v>Serviços</v>
      </c>
    </row>
    <row r="1094" spans="1:12" ht="15" customHeight="1" x14ac:dyDescent="0.3">
      <c r="A1094" s="82" t="str">
        <f t="shared" si="34"/>
        <v>2016</v>
      </c>
      <c r="B1094" s="72" t="s">
        <v>131</v>
      </c>
      <c r="C1094" s="73" t="s">
        <v>132</v>
      </c>
      <c r="D1094" s="74" t="str">
        <f t="shared" si="35"/>
        <v>mai/2016</v>
      </c>
      <c r="E1094" s="53">
        <v>42506</v>
      </c>
      <c r="F1094" s="75" t="s">
        <v>164</v>
      </c>
      <c r="G1094" s="72"/>
      <c r="H1094" s="49" t="s">
        <v>939</v>
      </c>
      <c r="I1094" s="49" t="s">
        <v>113</v>
      </c>
      <c r="J1094" s="76">
        <v>-4456.26</v>
      </c>
      <c r="K1094" s="83" t="str">
        <f>IFERROR(IFERROR(VLOOKUP(I1094,'DE-PARA'!B:D,3,0),VLOOKUP(I1094,'DE-PARA'!C:D,2,0)),"NÃO ENCONTRADO")</f>
        <v>Serviços</v>
      </c>
      <c r="L1094" s="50" t="str">
        <f>VLOOKUP(K1094,'Base -Receita-Despesa'!$B:$P,1,FALSE)</f>
        <v>Serviços</v>
      </c>
    </row>
    <row r="1095" spans="1:12" ht="15" customHeight="1" x14ac:dyDescent="0.3">
      <c r="A1095" s="82" t="str">
        <f t="shared" si="34"/>
        <v>2016</v>
      </c>
      <c r="B1095" s="72" t="s">
        <v>131</v>
      </c>
      <c r="C1095" s="73" t="s">
        <v>132</v>
      </c>
      <c r="D1095" s="74" t="str">
        <f t="shared" si="35"/>
        <v>mai/2016</v>
      </c>
      <c r="E1095" s="53">
        <v>42506</v>
      </c>
      <c r="F1095" s="75" t="s">
        <v>164</v>
      </c>
      <c r="G1095" s="72"/>
      <c r="H1095" s="49" t="s">
        <v>940</v>
      </c>
      <c r="I1095" s="49" t="s">
        <v>173</v>
      </c>
      <c r="J1095" s="76">
        <v>-428.22</v>
      </c>
      <c r="K1095" s="83" t="str">
        <f>IFERROR(IFERROR(VLOOKUP(I1095,'DE-PARA'!B:D,3,0),VLOOKUP(I1095,'DE-PARA'!C:D,2,0)),"NÃO ENCONTRADO")</f>
        <v>Serviços</v>
      </c>
      <c r="L1095" s="50" t="str">
        <f>VLOOKUP(K1095,'Base -Receita-Despesa'!$B:$P,1,FALSE)</f>
        <v>Serviços</v>
      </c>
    </row>
    <row r="1096" spans="1:12" ht="15" customHeight="1" x14ac:dyDescent="0.3">
      <c r="A1096" s="82" t="str">
        <f t="shared" si="34"/>
        <v>2016</v>
      </c>
      <c r="B1096" s="72" t="s">
        <v>131</v>
      </c>
      <c r="C1096" s="73" t="s">
        <v>132</v>
      </c>
      <c r="D1096" s="74" t="str">
        <f t="shared" si="35"/>
        <v>mai/2016</v>
      </c>
      <c r="E1096" s="53">
        <v>42506</v>
      </c>
      <c r="F1096" s="75" t="s">
        <v>164</v>
      </c>
      <c r="G1096" s="72"/>
      <c r="H1096" s="49" t="s">
        <v>941</v>
      </c>
      <c r="I1096" s="49" t="s">
        <v>173</v>
      </c>
      <c r="J1096" s="76">
        <v>-774.64</v>
      </c>
      <c r="K1096" s="83" t="str">
        <f>IFERROR(IFERROR(VLOOKUP(I1096,'DE-PARA'!B:D,3,0),VLOOKUP(I1096,'DE-PARA'!C:D,2,0)),"NÃO ENCONTRADO")</f>
        <v>Serviços</v>
      </c>
      <c r="L1096" s="50" t="str">
        <f>VLOOKUP(K1096,'Base -Receita-Despesa'!$B:$P,1,FALSE)</f>
        <v>Serviços</v>
      </c>
    </row>
    <row r="1097" spans="1:12" ht="15" customHeight="1" x14ac:dyDescent="0.3">
      <c r="A1097" s="82" t="str">
        <f t="shared" si="34"/>
        <v>2016</v>
      </c>
      <c r="B1097" s="72" t="s">
        <v>131</v>
      </c>
      <c r="C1097" s="73" t="s">
        <v>132</v>
      </c>
      <c r="D1097" s="74" t="str">
        <f t="shared" si="35"/>
        <v>mai/2016</v>
      </c>
      <c r="E1097" s="53">
        <v>42506</v>
      </c>
      <c r="F1097" s="75" t="s">
        <v>164</v>
      </c>
      <c r="G1097" s="72"/>
      <c r="H1097" s="49" t="s">
        <v>942</v>
      </c>
      <c r="I1097" s="49" t="s">
        <v>171</v>
      </c>
      <c r="J1097" s="76">
        <v>-627.1</v>
      </c>
      <c r="K1097" s="83" t="str">
        <f>IFERROR(IFERROR(VLOOKUP(I1097,'DE-PARA'!B:D,3,0),VLOOKUP(I1097,'DE-PARA'!C:D,2,0)),"NÃO ENCONTRADO")</f>
        <v>Serviços</v>
      </c>
      <c r="L1097" s="50" t="str">
        <f>VLOOKUP(K1097,'Base -Receita-Despesa'!$B:$P,1,FALSE)</f>
        <v>Serviços</v>
      </c>
    </row>
    <row r="1098" spans="1:12" ht="15" customHeight="1" x14ac:dyDescent="0.3">
      <c r="A1098" s="82" t="str">
        <f t="shared" si="34"/>
        <v>2016</v>
      </c>
      <c r="B1098" s="72" t="s">
        <v>131</v>
      </c>
      <c r="C1098" s="73" t="s">
        <v>132</v>
      </c>
      <c r="D1098" s="74" t="str">
        <f t="shared" si="35"/>
        <v>mai/2016</v>
      </c>
      <c r="E1098" s="53">
        <v>42506</v>
      </c>
      <c r="F1098" s="75" t="s">
        <v>243</v>
      </c>
      <c r="G1098" s="72"/>
      <c r="H1098" s="49" t="s">
        <v>943</v>
      </c>
      <c r="I1098" s="49" t="s">
        <v>124</v>
      </c>
      <c r="J1098" s="76">
        <v>-1568.45</v>
      </c>
      <c r="K1098" s="83" t="str">
        <f>IFERROR(IFERROR(VLOOKUP(I1098,'DE-PARA'!B:D,3,0),VLOOKUP(I1098,'DE-PARA'!C:D,2,0)),"NÃO ENCONTRADO")</f>
        <v>Rescisões Trabalhistas</v>
      </c>
      <c r="L1098" s="50" t="str">
        <f>VLOOKUP(K1098,'Base -Receita-Despesa'!$B:$P,1,FALSE)</f>
        <v>Rescisões Trabalhistas</v>
      </c>
    </row>
    <row r="1099" spans="1:12" ht="15" customHeight="1" x14ac:dyDescent="0.3">
      <c r="A1099" s="82" t="str">
        <f t="shared" si="34"/>
        <v>2016</v>
      </c>
      <c r="B1099" s="72" t="s">
        <v>131</v>
      </c>
      <c r="C1099" s="73" t="s">
        <v>132</v>
      </c>
      <c r="D1099" s="74" t="str">
        <f t="shared" si="35"/>
        <v>mai/2016</v>
      </c>
      <c r="E1099" s="53">
        <v>42507</v>
      </c>
      <c r="F1099" s="75" t="s">
        <v>944</v>
      </c>
      <c r="G1099" s="72"/>
      <c r="H1099" s="49" t="s">
        <v>669</v>
      </c>
      <c r="I1099" s="49" t="s">
        <v>515</v>
      </c>
      <c r="J1099" s="76">
        <v>-24200</v>
      </c>
      <c r="K1099" s="83" t="str">
        <f>IFERROR(IFERROR(VLOOKUP(I1099,'DE-PARA'!B:D,3,0),VLOOKUP(I1099,'DE-PARA'!C:D,2,0)),"NÃO ENCONTRADO")</f>
        <v>Serviços</v>
      </c>
      <c r="L1099" s="50" t="str">
        <f>VLOOKUP(K1099,'Base -Receita-Despesa'!$B:$P,1,FALSE)</f>
        <v>Serviços</v>
      </c>
    </row>
    <row r="1100" spans="1:12" ht="15" customHeight="1" x14ac:dyDescent="0.3">
      <c r="A1100" s="82" t="str">
        <f t="shared" si="34"/>
        <v>2016</v>
      </c>
      <c r="B1100" s="72" t="s">
        <v>131</v>
      </c>
      <c r="C1100" s="73" t="s">
        <v>132</v>
      </c>
      <c r="D1100" s="74" t="str">
        <f t="shared" si="35"/>
        <v>mai/2016</v>
      </c>
      <c r="E1100" s="53">
        <v>42507</v>
      </c>
      <c r="F1100" s="75" t="s">
        <v>840</v>
      </c>
      <c r="G1100" s="72"/>
      <c r="H1100" s="49" t="s">
        <v>863</v>
      </c>
      <c r="I1100" s="49" t="s">
        <v>129</v>
      </c>
      <c r="J1100" s="76">
        <v>-7.85</v>
      </c>
      <c r="K1100" s="83" t="str">
        <f>IFERROR(IFERROR(VLOOKUP(I1100,'DE-PARA'!B:D,3,0),VLOOKUP(I1100,'DE-PARA'!C:D,2,0)),"NÃO ENCONTRADO")</f>
        <v>Outras Saídas</v>
      </c>
      <c r="L1100" s="50" t="str">
        <f>VLOOKUP(K1100,'Base -Receita-Despesa'!$B:$P,1,FALSE)</f>
        <v>Outras Saídas</v>
      </c>
    </row>
    <row r="1101" spans="1:12" ht="15" customHeight="1" x14ac:dyDescent="0.3">
      <c r="A1101" s="82" t="str">
        <f t="shared" si="34"/>
        <v>2016</v>
      </c>
      <c r="B1101" s="72" t="s">
        <v>131</v>
      </c>
      <c r="C1101" s="73" t="s">
        <v>132</v>
      </c>
      <c r="D1101" s="74" t="str">
        <f t="shared" si="35"/>
        <v>mai/2016</v>
      </c>
      <c r="E1101" s="53">
        <v>42507</v>
      </c>
      <c r="F1101" s="75" t="s">
        <v>840</v>
      </c>
      <c r="G1101" s="72"/>
      <c r="H1101" s="49" t="s">
        <v>863</v>
      </c>
      <c r="I1101" s="49" t="s">
        <v>129</v>
      </c>
      <c r="J1101" s="76">
        <v>-7.85</v>
      </c>
      <c r="K1101" s="83" t="str">
        <f>IFERROR(IFERROR(VLOOKUP(I1101,'DE-PARA'!B:D,3,0),VLOOKUP(I1101,'DE-PARA'!C:D,2,0)),"NÃO ENCONTRADO")</f>
        <v>Outras Saídas</v>
      </c>
      <c r="L1101" s="50" t="str">
        <f>VLOOKUP(K1101,'Base -Receita-Despesa'!$B:$P,1,FALSE)</f>
        <v>Outras Saídas</v>
      </c>
    </row>
    <row r="1102" spans="1:12" ht="15" customHeight="1" x14ac:dyDescent="0.3">
      <c r="A1102" s="82" t="str">
        <f t="shared" si="34"/>
        <v>2016</v>
      </c>
      <c r="B1102" s="72" t="s">
        <v>131</v>
      </c>
      <c r="C1102" s="73" t="s">
        <v>132</v>
      </c>
      <c r="D1102" s="74" t="str">
        <f t="shared" si="35"/>
        <v>mai/2016</v>
      </c>
      <c r="E1102" s="53">
        <v>42507</v>
      </c>
      <c r="F1102" s="75" t="s">
        <v>840</v>
      </c>
      <c r="G1102" s="72"/>
      <c r="H1102" s="49" t="s">
        <v>863</v>
      </c>
      <c r="I1102" s="49" t="s">
        <v>129</v>
      </c>
      <c r="J1102" s="76">
        <v>-7.85</v>
      </c>
      <c r="K1102" s="83" t="str">
        <f>IFERROR(IFERROR(VLOOKUP(I1102,'DE-PARA'!B:D,3,0),VLOOKUP(I1102,'DE-PARA'!C:D,2,0)),"NÃO ENCONTRADO")</f>
        <v>Outras Saídas</v>
      </c>
      <c r="L1102" s="50" t="str">
        <f>VLOOKUP(K1102,'Base -Receita-Despesa'!$B:$P,1,FALSE)</f>
        <v>Outras Saídas</v>
      </c>
    </row>
    <row r="1103" spans="1:12" ht="15" customHeight="1" x14ac:dyDescent="0.3">
      <c r="A1103" s="82" t="str">
        <f t="shared" si="34"/>
        <v>2016</v>
      </c>
      <c r="B1103" s="72" t="s">
        <v>131</v>
      </c>
      <c r="C1103" s="73" t="s">
        <v>132</v>
      </c>
      <c r="D1103" s="74" t="str">
        <f t="shared" si="35"/>
        <v>mai/2016</v>
      </c>
      <c r="E1103" s="53">
        <v>42507</v>
      </c>
      <c r="F1103" s="75" t="s">
        <v>840</v>
      </c>
      <c r="G1103" s="72"/>
      <c r="H1103" s="49" t="s">
        <v>863</v>
      </c>
      <c r="I1103" s="49" t="s">
        <v>129</v>
      </c>
      <c r="J1103" s="76">
        <v>-7.85</v>
      </c>
      <c r="K1103" s="83" t="str">
        <f>IFERROR(IFERROR(VLOOKUP(I1103,'DE-PARA'!B:D,3,0),VLOOKUP(I1103,'DE-PARA'!C:D,2,0)),"NÃO ENCONTRADO")</f>
        <v>Outras Saídas</v>
      </c>
      <c r="L1103" s="50" t="str">
        <f>VLOOKUP(K1103,'Base -Receita-Despesa'!$B:$P,1,FALSE)</f>
        <v>Outras Saídas</v>
      </c>
    </row>
    <row r="1104" spans="1:12" ht="15" customHeight="1" x14ac:dyDescent="0.3">
      <c r="A1104" s="82" t="str">
        <f t="shared" si="34"/>
        <v>2016</v>
      </c>
      <c r="B1104" s="72" t="s">
        <v>131</v>
      </c>
      <c r="C1104" s="73" t="s">
        <v>132</v>
      </c>
      <c r="D1104" s="74" t="str">
        <f t="shared" si="35"/>
        <v>mai/2016</v>
      </c>
      <c r="E1104" s="53">
        <v>42507</v>
      </c>
      <c r="F1104" s="75" t="s">
        <v>840</v>
      </c>
      <c r="G1104" s="72"/>
      <c r="H1104" s="49" t="s">
        <v>863</v>
      </c>
      <c r="I1104" s="49" t="s">
        <v>129</v>
      </c>
      <c r="J1104" s="76">
        <v>-7.85</v>
      </c>
      <c r="K1104" s="83" t="str">
        <f>IFERROR(IFERROR(VLOOKUP(I1104,'DE-PARA'!B:D,3,0),VLOOKUP(I1104,'DE-PARA'!C:D,2,0)),"NÃO ENCONTRADO")</f>
        <v>Outras Saídas</v>
      </c>
      <c r="L1104" s="50" t="str">
        <f>VLOOKUP(K1104,'Base -Receita-Despesa'!$B:$P,1,FALSE)</f>
        <v>Outras Saídas</v>
      </c>
    </row>
    <row r="1105" spans="1:12" ht="15" customHeight="1" x14ac:dyDescent="0.3">
      <c r="A1105" s="82" t="str">
        <f t="shared" si="34"/>
        <v>2016</v>
      </c>
      <c r="B1105" s="72" t="s">
        <v>131</v>
      </c>
      <c r="C1105" s="73" t="s">
        <v>132</v>
      </c>
      <c r="D1105" s="74" t="str">
        <f t="shared" si="35"/>
        <v>mai/2016</v>
      </c>
      <c r="E1105" s="53">
        <v>42507</v>
      </c>
      <c r="F1105" s="75" t="s">
        <v>840</v>
      </c>
      <c r="G1105" s="72"/>
      <c r="H1105" s="49" t="s">
        <v>863</v>
      </c>
      <c r="I1105" s="49" t="s">
        <v>129</v>
      </c>
      <c r="J1105" s="76">
        <v>-7.85</v>
      </c>
      <c r="K1105" s="83" t="str">
        <f>IFERROR(IFERROR(VLOOKUP(I1105,'DE-PARA'!B:D,3,0),VLOOKUP(I1105,'DE-PARA'!C:D,2,0)),"NÃO ENCONTRADO")</f>
        <v>Outras Saídas</v>
      </c>
      <c r="L1105" s="50" t="str">
        <f>VLOOKUP(K1105,'Base -Receita-Despesa'!$B:$P,1,FALSE)</f>
        <v>Outras Saídas</v>
      </c>
    </row>
    <row r="1106" spans="1:12" ht="15" customHeight="1" x14ac:dyDescent="0.3">
      <c r="A1106" s="82" t="str">
        <f t="shared" si="34"/>
        <v>2016</v>
      </c>
      <c r="B1106" s="72" t="s">
        <v>131</v>
      </c>
      <c r="C1106" s="73" t="s">
        <v>132</v>
      </c>
      <c r="D1106" s="74" t="str">
        <f t="shared" si="35"/>
        <v>mai/2016</v>
      </c>
      <c r="E1106" s="53">
        <v>42507</v>
      </c>
      <c r="F1106" s="75" t="s">
        <v>184</v>
      </c>
      <c r="G1106" s="72"/>
      <c r="H1106" s="49" t="s">
        <v>945</v>
      </c>
      <c r="I1106" s="49" t="s">
        <v>114</v>
      </c>
      <c r="J1106" s="76">
        <v>-4489.83</v>
      </c>
      <c r="K1106" s="83" t="str">
        <f>IFERROR(IFERROR(VLOOKUP(I1106,'DE-PARA'!B:D,3,0),VLOOKUP(I1106,'DE-PARA'!C:D,2,0)),"NÃO ENCONTRADO")</f>
        <v>Serviços</v>
      </c>
      <c r="L1106" s="50" t="str">
        <f>VLOOKUP(K1106,'Base -Receita-Despesa'!$B:$P,1,FALSE)</f>
        <v>Serviços</v>
      </c>
    </row>
    <row r="1107" spans="1:12" ht="15" customHeight="1" x14ac:dyDescent="0.3">
      <c r="A1107" s="82" t="str">
        <f t="shared" si="34"/>
        <v>2016</v>
      </c>
      <c r="B1107" s="72" t="s">
        <v>131</v>
      </c>
      <c r="C1107" s="73" t="s">
        <v>132</v>
      </c>
      <c r="D1107" s="74" t="str">
        <f t="shared" si="35"/>
        <v>mai/2016</v>
      </c>
      <c r="E1107" s="53">
        <v>42507</v>
      </c>
      <c r="F1107" s="75" t="s">
        <v>184</v>
      </c>
      <c r="G1107" s="72"/>
      <c r="H1107" s="49" t="s">
        <v>946</v>
      </c>
      <c r="I1107" s="49" t="s">
        <v>113</v>
      </c>
      <c r="J1107" s="76">
        <v>-1302.46</v>
      </c>
      <c r="K1107" s="83" t="str">
        <f>IFERROR(IFERROR(VLOOKUP(I1107,'DE-PARA'!B:D,3,0),VLOOKUP(I1107,'DE-PARA'!C:D,2,0)),"NÃO ENCONTRADO")</f>
        <v>Serviços</v>
      </c>
      <c r="L1107" s="50" t="str">
        <f>VLOOKUP(K1107,'Base -Receita-Despesa'!$B:$P,1,FALSE)</f>
        <v>Serviços</v>
      </c>
    </row>
    <row r="1108" spans="1:12" ht="15" customHeight="1" x14ac:dyDescent="0.3">
      <c r="A1108" s="82" t="str">
        <f t="shared" si="34"/>
        <v>2016</v>
      </c>
      <c r="B1108" s="72" t="s">
        <v>131</v>
      </c>
      <c r="C1108" s="73" t="s">
        <v>132</v>
      </c>
      <c r="D1108" s="74" t="str">
        <f t="shared" si="35"/>
        <v>mai/2016</v>
      </c>
      <c r="E1108" s="53">
        <v>42507</v>
      </c>
      <c r="F1108" s="75" t="s">
        <v>184</v>
      </c>
      <c r="G1108" s="72"/>
      <c r="H1108" s="49" t="s">
        <v>947</v>
      </c>
      <c r="I1108" s="49" t="s">
        <v>113</v>
      </c>
      <c r="J1108" s="76">
        <v>-12247.46</v>
      </c>
      <c r="K1108" s="83" t="str">
        <f>IFERROR(IFERROR(VLOOKUP(I1108,'DE-PARA'!B:D,3,0),VLOOKUP(I1108,'DE-PARA'!C:D,2,0)),"NÃO ENCONTRADO")</f>
        <v>Serviços</v>
      </c>
      <c r="L1108" s="50" t="str">
        <f>VLOOKUP(K1108,'Base -Receita-Despesa'!$B:$P,1,FALSE)</f>
        <v>Serviços</v>
      </c>
    </row>
    <row r="1109" spans="1:12" ht="15" customHeight="1" x14ac:dyDescent="0.3">
      <c r="A1109" s="82" t="str">
        <f t="shared" si="34"/>
        <v>2016</v>
      </c>
      <c r="B1109" s="72" t="s">
        <v>131</v>
      </c>
      <c r="C1109" s="73" t="s">
        <v>132</v>
      </c>
      <c r="D1109" s="74" t="str">
        <f t="shared" si="35"/>
        <v>mai/2016</v>
      </c>
      <c r="E1109" s="53">
        <v>42507</v>
      </c>
      <c r="F1109" s="75" t="s">
        <v>184</v>
      </c>
      <c r="G1109" s="72"/>
      <c r="H1109" s="49" t="s">
        <v>948</v>
      </c>
      <c r="I1109" s="49" t="s">
        <v>173</v>
      </c>
      <c r="J1109" s="76">
        <v>-2123</v>
      </c>
      <c r="K1109" s="83" t="str">
        <f>IFERROR(IFERROR(VLOOKUP(I1109,'DE-PARA'!B:D,3,0),VLOOKUP(I1109,'DE-PARA'!C:D,2,0)),"NÃO ENCONTRADO")</f>
        <v>Serviços</v>
      </c>
      <c r="L1109" s="50" t="str">
        <f>VLOOKUP(K1109,'Base -Receita-Despesa'!$B:$P,1,FALSE)</f>
        <v>Serviços</v>
      </c>
    </row>
    <row r="1110" spans="1:12" ht="15" customHeight="1" x14ac:dyDescent="0.3">
      <c r="A1110" s="82" t="str">
        <f t="shared" si="34"/>
        <v>2016</v>
      </c>
      <c r="B1110" s="72" t="s">
        <v>131</v>
      </c>
      <c r="C1110" s="73" t="s">
        <v>132</v>
      </c>
      <c r="D1110" s="74" t="str">
        <f t="shared" si="35"/>
        <v>mai/2016</v>
      </c>
      <c r="E1110" s="53">
        <v>42507</v>
      </c>
      <c r="F1110" s="75" t="s">
        <v>949</v>
      </c>
      <c r="G1110" s="72"/>
      <c r="H1110" s="49" t="s">
        <v>950</v>
      </c>
      <c r="I1110" s="49" t="s">
        <v>110</v>
      </c>
      <c r="J1110" s="76">
        <v>-51</v>
      </c>
      <c r="K1110" s="83" t="str">
        <f>IFERROR(IFERROR(VLOOKUP(I1110,'DE-PARA'!B:D,3,0),VLOOKUP(I1110,'DE-PARA'!C:D,2,0)),"NÃO ENCONTRADO")</f>
        <v>Serviços</v>
      </c>
      <c r="L1110" s="50" t="str">
        <f>VLOOKUP(K1110,'Base -Receita-Despesa'!$B:$P,1,FALSE)</f>
        <v>Serviços</v>
      </c>
    </row>
    <row r="1111" spans="1:12" ht="15" customHeight="1" x14ac:dyDescent="0.3">
      <c r="A1111" s="82" t="str">
        <f t="shared" si="34"/>
        <v>2016</v>
      </c>
      <c r="B1111" s="72" t="s">
        <v>131</v>
      </c>
      <c r="C1111" s="73" t="s">
        <v>132</v>
      </c>
      <c r="D1111" s="74" t="str">
        <f t="shared" si="35"/>
        <v>mai/2016</v>
      </c>
      <c r="E1111" s="53">
        <v>42507</v>
      </c>
      <c r="F1111" s="75" t="s">
        <v>283</v>
      </c>
      <c r="G1111" s="72"/>
      <c r="H1111" s="49" t="s">
        <v>951</v>
      </c>
      <c r="I1111" s="49" t="s">
        <v>114</v>
      </c>
      <c r="J1111" s="76">
        <v>-408.17</v>
      </c>
      <c r="K1111" s="83" t="str">
        <f>IFERROR(IFERROR(VLOOKUP(I1111,'DE-PARA'!B:D,3,0),VLOOKUP(I1111,'DE-PARA'!C:D,2,0)),"NÃO ENCONTRADO")</f>
        <v>Serviços</v>
      </c>
      <c r="L1111" s="50" t="str">
        <f>VLOOKUP(K1111,'Base -Receita-Despesa'!$B:$P,1,FALSE)</f>
        <v>Serviços</v>
      </c>
    </row>
    <row r="1112" spans="1:12" ht="15" customHeight="1" x14ac:dyDescent="0.3">
      <c r="A1112" s="82" t="str">
        <f t="shared" si="34"/>
        <v>2016</v>
      </c>
      <c r="B1112" s="72" t="s">
        <v>131</v>
      </c>
      <c r="C1112" s="73" t="s">
        <v>132</v>
      </c>
      <c r="D1112" s="74" t="str">
        <f t="shared" si="35"/>
        <v>mai/2016</v>
      </c>
      <c r="E1112" s="53">
        <v>42507</v>
      </c>
      <c r="F1112" s="75" t="s">
        <v>283</v>
      </c>
      <c r="G1112" s="72"/>
      <c r="H1112" s="49" t="s">
        <v>952</v>
      </c>
      <c r="I1112" s="49" t="s">
        <v>138</v>
      </c>
      <c r="J1112" s="76">
        <v>-75.349999999999994</v>
      </c>
      <c r="K1112" s="83" t="str">
        <f>IFERROR(IFERROR(VLOOKUP(I1112,'DE-PARA'!B:D,3,0),VLOOKUP(I1112,'DE-PARA'!C:D,2,0)),"NÃO ENCONTRADO")</f>
        <v>Serviços</v>
      </c>
      <c r="L1112" s="50" t="str">
        <f>VLOOKUP(K1112,'Base -Receita-Despesa'!$B:$P,1,FALSE)</f>
        <v>Serviços</v>
      </c>
    </row>
    <row r="1113" spans="1:12" ht="15" customHeight="1" x14ac:dyDescent="0.3">
      <c r="A1113" s="82" t="str">
        <f t="shared" si="34"/>
        <v>2016</v>
      </c>
      <c r="B1113" s="72" t="s">
        <v>131</v>
      </c>
      <c r="C1113" s="73" t="s">
        <v>132</v>
      </c>
      <c r="D1113" s="74" t="str">
        <f t="shared" si="35"/>
        <v>mai/2016</v>
      </c>
      <c r="E1113" s="53">
        <v>42507</v>
      </c>
      <c r="F1113" s="75" t="s">
        <v>283</v>
      </c>
      <c r="G1113" s="72"/>
      <c r="H1113" s="49" t="s">
        <v>953</v>
      </c>
      <c r="I1113" s="49" t="s">
        <v>113</v>
      </c>
      <c r="J1113" s="76">
        <v>-118.41</v>
      </c>
      <c r="K1113" s="83" t="str">
        <f>IFERROR(IFERROR(VLOOKUP(I1113,'DE-PARA'!B:D,3,0),VLOOKUP(I1113,'DE-PARA'!C:D,2,0)),"NÃO ENCONTRADO")</f>
        <v>Serviços</v>
      </c>
      <c r="L1113" s="50" t="str">
        <f>VLOOKUP(K1113,'Base -Receita-Despesa'!$B:$P,1,FALSE)</f>
        <v>Serviços</v>
      </c>
    </row>
    <row r="1114" spans="1:12" ht="15" customHeight="1" x14ac:dyDescent="0.3">
      <c r="A1114" s="82" t="str">
        <f t="shared" si="34"/>
        <v>2016</v>
      </c>
      <c r="B1114" s="72" t="s">
        <v>131</v>
      </c>
      <c r="C1114" s="73" t="s">
        <v>132</v>
      </c>
      <c r="D1114" s="74" t="str">
        <f t="shared" si="35"/>
        <v>mai/2016</v>
      </c>
      <c r="E1114" s="53">
        <v>42507</v>
      </c>
      <c r="F1114" s="75" t="s">
        <v>283</v>
      </c>
      <c r="G1114" s="72"/>
      <c r="H1114" s="49" t="s">
        <v>954</v>
      </c>
      <c r="I1114" s="49" t="s">
        <v>113</v>
      </c>
      <c r="J1114" s="76">
        <v>-1113.4000000000001</v>
      </c>
      <c r="K1114" s="83" t="str">
        <f>IFERROR(IFERROR(VLOOKUP(I1114,'DE-PARA'!B:D,3,0),VLOOKUP(I1114,'DE-PARA'!C:D,2,0)),"NÃO ENCONTRADO")</f>
        <v>Serviços</v>
      </c>
      <c r="L1114" s="50" t="str">
        <f>VLOOKUP(K1114,'Base -Receita-Despesa'!$B:$P,1,FALSE)</f>
        <v>Serviços</v>
      </c>
    </row>
    <row r="1115" spans="1:12" ht="15" customHeight="1" x14ac:dyDescent="0.3">
      <c r="A1115" s="82" t="str">
        <f t="shared" si="34"/>
        <v>2016</v>
      </c>
      <c r="B1115" s="72" t="s">
        <v>131</v>
      </c>
      <c r="C1115" s="73" t="s">
        <v>132</v>
      </c>
      <c r="D1115" s="74" t="str">
        <f t="shared" si="35"/>
        <v>mai/2016</v>
      </c>
      <c r="E1115" s="53">
        <v>42507</v>
      </c>
      <c r="F1115" s="75" t="s">
        <v>283</v>
      </c>
      <c r="G1115" s="72"/>
      <c r="H1115" s="49" t="s">
        <v>955</v>
      </c>
      <c r="I1115" s="49" t="s">
        <v>110</v>
      </c>
      <c r="J1115" s="76">
        <v>-43.2</v>
      </c>
      <c r="K1115" s="83" t="str">
        <f>IFERROR(IFERROR(VLOOKUP(I1115,'DE-PARA'!B:D,3,0),VLOOKUP(I1115,'DE-PARA'!C:D,2,0)),"NÃO ENCONTRADO")</f>
        <v>Serviços</v>
      </c>
      <c r="L1115" s="50" t="str">
        <f>VLOOKUP(K1115,'Base -Receita-Despesa'!$B:$P,1,FALSE)</f>
        <v>Serviços</v>
      </c>
    </row>
    <row r="1116" spans="1:12" ht="15" customHeight="1" x14ac:dyDescent="0.3">
      <c r="A1116" s="82" t="str">
        <f t="shared" si="34"/>
        <v>2016</v>
      </c>
      <c r="B1116" s="72" t="s">
        <v>131</v>
      </c>
      <c r="C1116" s="73" t="s">
        <v>132</v>
      </c>
      <c r="D1116" s="74" t="str">
        <f t="shared" si="35"/>
        <v>mai/2016</v>
      </c>
      <c r="E1116" s="53">
        <v>42507</v>
      </c>
      <c r="F1116" s="75" t="s">
        <v>283</v>
      </c>
      <c r="G1116" s="72"/>
      <c r="H1116" s="49" t="s">
        <v>956</v>
      </c>
      <c r="I1116" s="49" t="s">
        <v>173</v>
      </c>
      <c r="J1116" s="76">
        <v>-141.86000000000001</v>
      </c>
      <c r="K1116" s="83" t="str">
        <f>IFERROR(IFERROR(VLOOKUP(I1116,'DE-PARA'!B:D,3,0),VLOOKUP(I1116,'DE-PARA'!C:D,2,0)),"NÃO ENCONTRADO")</f>
        <v>Serviços</v>
      </c>
      <c r="L1116" s="50" t="str">
        <f>VLOOKUP(K1116,'Base -Receita-Despesa'!$B:$P,1,FALSE)</f>
        <v>Serviços</v>
      </c>
    </row>
    <row r="1117" spans="1:12" ht="15" customHeight="1" x14ac:dyDescent="0.3">
      <c r="A1117" s="82" t="str">
        <f t="shared" si="34"/>
        <v>2016</v>
      </c>
      <c r="B1117" s="72" t="s">
        <v>131</v>
      </c>
      <c r="C1117" s="73" t="s">
        <v>132</v>
      </c>
      <c r="D1117" s="74" t="str">
        <f t="shared" si="35"/>
        <v>mai/2016</v>
      </c>
      <c r="E1117" s="53">
        <v>42507</v>
      </c>
      <c r="F1117" s="75" t="s">
        <v>949</v>
      </c>
      <c r="G1117" s="72"/>
      <c r="H1117" s="49" t="s">
        <v>957</v>
      </c>
      <c r="I1117" s="49" t="s">
        <v>173</v>
      </c>
      <c r="J1117" s="76">
        <v>-193</v>
      </c>
      <c r="K1117" s="83" t="str">
        <f>IFERROR(IFERROR(VLOOKUP(I1117,'DE-PARA'!B:D,3,0),VLOOKUP(I1117,'DE-PARA'!C:D,2,0)),"NÃO ENCONTRADO")</f>
        <v>Serviços</v>
      </c>
      <c r="L1117" s="50" t="str">
        <f>VLOOKUP(K1117,'Base -Receita-Despesa'!$B:$P,1,FALSE)</f>
        <v>Serviços</v>
      </c>
    </row>
    <row r="1118" spans="1:12" ht="15" customHeight="1" x14ac:dyDescent="0.3">
      <c r="A1118" s="82" t="str">
        <f t="shared" si="34"/>
        <v>2016</v>
      </c>
      <c r="B1118" s="72" t="s">
        <v>131</v>
      </c>
      <c r="C1118" s="73" t="s">
        <v>132</v>
      </c>
      <c r="D1118" s="74" t="str">
        <f t="shared" si="35"/>
        <v>mai/2016</v>
      </c>
      <c r="E1118" s="53">
        <v>42507</v>
      </c>
      <c r="F1118" s="75" t="s">
        <v>142</v>
      </c>
      <c r="G1118" s="72"/>
      <c r="H1118" s="49" t="s">
        <v>505</v>
      </c>
      <c r="I1118" s="49" t="s">
        <v>144</v>
      </c>
      <c r="J1118" s="76">
        <v>-2485.6</v>
      </c>
      <c r="K1118" s="83" t="str">
        <f>IFERROR(IFERROR(VLOOKUP(I1118,'DE-PARA'!B:D,3,0),VLOOKUP(I1118,'DE-PARA'!C:D,2,0)),"NÃO ENCONTRADO")</f>
        <v>Concessionárias (água, luz e telefone)</v>
      </c>
      <c r="L1118" s="50" t="str">
        <f>VLOOKUP(K1118,'Base -Receita-Despesa'!$B:$P,1,FALSE)</f>
        <v>Concessionárias (água, luz e telefone)</v>
      </c>
    </row>
    <row r="1119" spans="1:12" ht="15" customHeight="1" x14ac:dyDescent="0.3">
      <c r="A1119" s="82" t="str">
        <f t="shared" si="34"/>
        <v>2016</v>
      </c>
      <c r="B1119" s="72" t="s">
        <v>131</v>
      </c>
      <c r="C1119" s="73" t="s">
        <v>132</v>
      </c>
      <c r="D1119" s="74" t="str">
        <f t="shared" si="35"/>
        <v>mai/2016</v>
      </c>
      <c r="E1119" s="53">
        <v>42507</v>
      </c>
      <c r="F1119" s="75" t="s">
        <v>142</v>
      </c>
      <c r="G1119" s="72"/>
      <c r="H1119" s="49" t="s">
        <v>505</v>
      </c>
      <c r="I1119" s="49" t="s">
        <v>144</v>
      </c>
      <c r="J1119" s="76">
        <v>-1600.77</v>
      </c>
      <c r="K1119" s="83" t="str">
        <f>IFERROR(IFERROR(VLOOKUP(I1119,'DE-PARA'!B:D,3,0),VLOOKUP(I1119,'DE-PARA'!C:D,2,0)),"NÃO ENCONTRADO")</f>
        <v>Concessionárias (água, luz e telefone)</v>
      </c>
      <c r="L1119" s="50" t="str">
        <f>VLOOKUP(K1119,'Base -Receita-Despesa'!$B:$P,1,FALSE)</f>
        <v>Concessionárias (água, luz e telefone)</v>
      </c>
    </row>
    <row r="1120" spans="1:12" ht="15" customHeight="1" x14ac:dyDescent="0.3">
      <c r="A1120" s="82" t="str">
        <f t="shared" si="34"/>
        <v>2016</v>
      </c>
      <c r="B1120" s="72" t="s">
        <v>131</v>
      </c>
      <c r="C1120" s="73" t="s">
        <v>132</v>
      </c>
      <c r="D1120" s="74" t="str">
        <f t="shared" si="35"/>
        <v>mai/2016</v>
      </c>
      <c r="E1120" s="53">
        <v>42507</v>
      </c>
      <c r="F1120" s="75" t="s">
        <v>958</v>
      </c>
      <c r="G1120" s="72"/>
      <c r="H1120" s="49" t="s">
        <v>959</v>
      </c>
      <c r="I1120" s="49" t="s">
        <v>138</v>
      </c>
      <c r="J1120" s="76">
        <v>-233.57</v>
      </c>
      <c r="K1120" s="83" t="str">
        <f>IFERROR(IFERROR(VLOOKUP(I1120,'DE-PARA'!B:D,3,0),VLOOKUP(I1120,'DE-PARA'!C:D,2,0)),"NÃO ENCONTRADO")</f>
        <v>Serviços</v>
      </c>
      <c r="L1120" s="50" t="str">
        <f>VLOOKUP(K1120,'Base -Receita-Despesa'!$B:$P,1,FALSE)</f>
        <v>Serviços</v>
      </c>
    </row>
    <row r="1121" spans="1:12" ht="15" customHeight="1" x14ac:dyDescent="0.3">
      <c r="A1121" s="82" t="str">
        <f t="shared" si="34"/>
        <v>2016</v>
      </c>
      <c r="B1121" s="72" t="s">
        <v>131</v>
      </c>
      <c r="C1121" s="73" t="s">
        <v>132</v>
      </c>
      <c r="D1121" s="74" t="str">
        <f t="shared" si="35"/>
        <v>mai/2016</v>
      </c>
      <c r="E1121" s="53">
        <v>42507</v>
      </c>
      <c r="F1121" s="75" t="s">
        <v>958</v>
      </c>
      <c r="G1121" s="72"/>
      <c r="H1121" s="49" t="s">
        <v>960</v>
      </c>
      <c r="I1121" s="49" t="s">
        <v>113</v>
      </c>
      <c r="J1121" s="76">
        <v>-4626.75</v>
      </c>
      <c r="K1121" s="83" t="str">
        <f>IFERROR(IFERROR(VLOOKUP(I1121,'DE-PARA'!B:D,3,0),VLOOKUP(I1121,'DE-PARA'!C:D,2,0)),"NÃO ENCONTRADO")</f>
        <v>Serviços</v>
      </c>
      <c r="L1121" s="50" t="str">
        <f>VLOOKUP(K1121,'Base -Receita-Despesa'!$B:$P,1,FALSE)</f>
        <v>Serviços</v>
      </c>
    </row>
    <row r="1122" spans="1:12" ht="15" customHeight="1" x14ac:dyDescent="0.3">
      <c r="A1122" s="82" t="str">
        <f t="shared" si="34"/>
        <v>2016</v>
      </c>
      <c r="B1122" s="72" t="s">
        <v>131</v>
      </c>
      <c r="C1122" s="73" t="s">
        <v>132</v>
      </c>
      <c r="D1122" s="74" t="str">
        <f t="shared" si="35"/>
        <v>mai/2016</v>
      </c>
      <c r="E1122" s="53">
        <v>42507</v>
      </c>
      <c r="F1122" s="75" t="s">
        <v>958</v>
      </c>
      <c r="G1122" s="72"/>
      <c r="H1122" s="49" t="s">
        <v>961</v>
      </c>
      <c r="I1122" s="49" t="s">
        <v>173</v>
      </c>
      <c r="J1122" s="76">
        <v>-897.45</v>
      </c>
      <c r="K1122" s="83" t="str">
        <f>IFERROR(IFERROR(VLOOKUP(I1122,'DE-PARA'!B:D,3,0),VLOOKUP(I1122,'DE-PARA'!C:D,2,0)),"NÃO ENCONTRADO")</f>
        <v>Serviços</v>
      </c>
      <c r="L1122" s="50" t="str">
        <f>VLOOKUP(K1122,'Base -Receita-Despesa'!$B:$P,1,FALSE)</f>
        <v>Serviços</v>
      </c>
    </row>
    <row r="1123" spans="1:12" ht="15" customHeight="1" x14ac:dyDescent="0.3">
      <c r="A1123" s="82" t="str">
        <f t="shared" si="34"/>
        <v>2016</v>
      </c>
      <c r="B1123" s="72" t="s">
        <v>131</v>
      </c>
      <c r="C1123" s="73" t="s">
        <v>132</v>
      </c>
      <c r="D1123" s="74" t="str">
        <f t="shared" si="35"/>
        <v>mai/2016</v>
      </c>
      <c r="E1123" s="53">
        <v>42507</v>
      </c>
      <c r="F1123" s="75" t="s">
        <v>958</v>
      </c>
      <c r="G1123" s="72"/>
      <c r="H1123" s="49" t="s">
        <v>962</v>
      </c>
      <c r="I1123" s="49" t="s">
        <v>173</v>
      </c>
      <c r="J1123" s="76">
        <v>-659.65</v>
      </c>
      <c r="K1123" s="83" t="str">
        <f>IFERROR(IFERROR(VLOOKUP(I1123,'DE-PARA'!B:D,3,0),VLOOKUP(I1123,'DE-PARA'!C:D,2,0)),"NÃO ENCONTRADO")</f>
        <v>Serviços</v>
      </c>
      <c r="L1123" s="50" t="str">
        <f>VLOOKUP(K1123,'Base -Receita-Despesa'!$B:$P,1,FALSE)</f>
        <v>Serviços</v>
      </c>
    </row>
    <row r="1124" spans="1:12" ht="15" customHeight="1" x14ac:dyDescent="0.3">
      <c r="A1124" s="82" t="str">
        <f t="shared" si="34"/>
        <v>2016</v>
      </c>
      <c r="B1124" s="72" t="s">
        <v>131</v>
      </c>
      <c r="C1124" s="73" t="s">
        <v>132</v>
      </c>
      <c r="D1124" s="74" t="str">
        <f t="shared" si="35"/>
        <v>mai/2016</v>
      </c>
      <c r="E1124" s="53">
        <v>42507</v>
      </c>
      <c r="F1124" s="75" t="s">
        <v>958</v>
      </c>
      <c r="G1124" s="72"/>
      <c r="H1124" s="49" t="s">
        <v>963</v>
      </c>
      <c r="I1124" s="49" t="s">
        <v>171</v>
      </c>
      <c r="J1124" s="76">
        <v>-2929.19</v>
      </c>
      <c r="K1124" s="83" t="str">
        <f>IFERROR(IFERROR(VLOOKUP(I1124,'DE-PARA'!B:D,3,0),VLOOKUP(I1124,'DE-PARA'!C:D,2,0)),"NÃO ENCONTRADO")</f>
        <v>Serviços</v>
      </c>
      <c r="L1124" s="50" t="str">
        <f>VLOOKUP(K1124,'Base -Receita-Despesa'!$B:$P,1,FALSE)</f>
        <v>Serviços</v>
      </c>
    </row>
    <row r="1125" spans="1:12" ht="15" customHeight="1" x14ac:dyDescent="0.3">
      <c r="A1125" s="82" t="str">
        <f t="shared" si="34"/>
        <v>2016</v>
      </c>
      <c r="B1125" s="72" t="s">
        <v>131</v>
      </c>
      <c r="C1125" s="73" t="s">
        <v>132</v>
      </c>
      <c r="D1125" s="74" t="str">
        <f t="shared" si="35"/>
        <v>mai/2016</v>
      </c>
      <c r="E1125" s="53">
        <v>42507</v>
      </c>
      <c r="F1125" s="75" t="s">
        <v>958</v>
      </c>
      <c r="G1125" s="72"/>
      <c r="H1125" s="49" t="s">
        <v>964</v>
      </c>
      <c r="I1125" s="49" t="s">
        <v>110</v>
      </c>
      <c r="J1125" s="76">
        <v>-143.76</v>
      </c>
      <c r="K1125" s="83" t="str">
        <f>IFERROR(IFERROR(VLOOKUP(I1125,'DE-PARA'!B:D,3,0),VLOOKUP(I1125,'DE-PARA'!C:D,2,0)),"NÃO ENCONTRADO")</f>
        <v>Serviços</v>
      </c>
      <c r="L1125" s="50" t="str">
        <f>VLOOKUP(K1125,'Base -Receita-Despesa'!$B:$P,1,FALSE)</f>
        <v>Serviços</v>
      </c>
    </row>
    <row r="1126" spans="1:12" ht="15" customHeight="1" x14ac:dyDescent="0.3">
      <c r="A1126" s="82" t="str">
        <f t="shared" si="34"/>
        <v>2016</v>
      </c>
      <c r="B1126" s="72" t="s">
        <v>131</v>
      </c>
      <c r="C1126" s="73" t="s">
        <v>132</v>
      </c>
      <c r="D1126" s="74" t="str">
        <f t="shared" si="35"/>
        <v>mai/2016</v>
      </c>
      <c r="E1126" s="53">
        <v>42507</v>
      </c>
      <c r="F1126" s="75" t="s">
        <v>965</v>
      </c>
      <c r="G1126" s="72"/>
      <c r="H1126" s="49" t="s">
        <v>225</v>
      </c>
      <c r="I1126" s="49" t="s">
        <v>110</v>
      </c>
      <c r="J1126" s="76">
        <v>-1750</v>
      </c>
      <c r="K1126" s="83" t="str">
        <f>IFERROR(IFERROR(VLOOKUP(I1126,'DE-PARA'!B:D,3,0),VLOOKUP(I1126,'DE-PARA'!C:D,2,0)),"NÃO ENCONTRADO")</f>
        <v>Serviços</v>
      </c>
      <c r="L1126" s="50" t="str">
        <f>VLOOKUP(K1126,'Base -Receita-Despesa'!$B:$P,1,FALSE)</f>
        <v>Serviços</v>
      </c>
    </row>
    <row r="1127" spans="1:12" ht="15" customHeight="1" x14ac:dyDescent="0.3">
      <c r="A1127" s="82" t="str">
        <f t="shared" si="34"/>
        <v>2016</v>
      </c>
      <c r="B1127" s="72" t="s">
        <v>131</v>
      </c>
      <c r="C1127" s="73" t="s">
        <v>132</v>
      </c>
      <c r="D1127" s="74" t="str">
        <f t="shared" si="35"/>
        <v>mai/2016</v>
      </c>
      <c r="E1127" s="53">
        <v>42507</v>
      </c>
      <c r="F1127" s="75" t="s">
        <v>966</v>
      </c>
      <c r="G1127" s="72"/>
      <c r="H1127" s="49" t="s">
        <v>225</v>
      </c>
      <c r="I1127" s="49" t="s">
        <v>110</v>
      </c>
      <c r="J1127" s="76">
        <v>-11490</v>
      </c>
      <c r="K1127" s="83" t="str">
        <f>IFERROR(IFERROR(VLOOKUP(I1127,'DE-PARA'!B:D,3,0),VLOOKUP(I1127,'DE-PARA'!C:D,2,0)),"NÃO ENCONTRADO")</f>
        <v>Serviços</v>
      </c>
      <c r="L1127" s="50" t="str">
        <f>VLOOKUP(K1127,'Base -Receita-Despesa'!$B:$P,1,FALSE)</f>
        <v>Serviços</v>
      </c>
    </row>
    <row r="1128" spans="1:12" ht="15" customHeight="1" x14ac:dyDescent="0.3">
      <c r="A1128" s="82" t="str">
        <f t="shared" si="34"/>
        <v>2016</v>
      </c>
      <c r="B1128" s="72" t="s">
        <v>131</v>
      </c>
      <c r="C1128" s="73" t="s">
        <v>132</v>
      </c>
      <c r="D1128" s="74" t="str">
        <f t="shared" si="35"/>
        <v>mai/2016</v>
      </c>
      <c r="E1128" s="53">
        <v>42507</v>
      </c>
      <c r="F1128" s="75" t="s">
        <v>967</v>
      </c>
      <c r="G1128" s="72"/>
      <c r="H1128" s="49" t="s">
        <v>182</v>
      </c>
      <c r="I1128" s="49" t="s">
        <v>138</v>
      </c>
      <c r="J1128" s="76">
        <v>-4714.08</v>
      </c>
      <c r="K1128" s="83" t="str">
        <f>IFERROR(IFERROR(VLOOKUP(I1128,'DE-PARA'!B:D,3,0),VLOOKUP(I1128,'DE-PARA'!C:D,2,0)),"NÃO ENCONTRADO")</f>
        <v>Serviços</v>
      </c>
      <c r="L1128" s="50" t="str">
        <f>VLOOKUP(K1128,'Base -Receita-Despesa'!$B:$P,1,FALSE)</f>
        <v>Serviços</v>
      </c>
    </row>
    <row r="1129" spans="1:12" ht="15" customHeight="1" x14ac:dyDescent="0.3">
      <c r="A1129" s="82" t="str">
        <f t="shared" si="34"/>
        <v>2016</v>
      </c>
      <c r="B1129" s="72" t="s">
        <v>131</v>
      </c>
      <c r="C1129" s="73" t="s">
        <v>132</v>
      </c>
      <c r="D1129" s="74" t="str">
        <f t="shared" si="35"/>
        <v>mai/2016</v>
      </c>
      <c r="E1129" s="53">
        <v>42507</v>
      </c>
      <c r="F1129" s="75" t="s">
        <v>968</v>
      </c>
      <c r="G1129" s="72"/>
      <c r="H1129" s="49" t="s">
        <v>182</v>
      </c>
      <c r="I1129" s="49" t="s">
        <v>138</v>
      </c>
      <c r="J1129" s="76">
        <v>-4714.08</v>
      </c>
      <c r="K1129" s="83" t="str">
        <f>IFERROR(IFERROR(VLOOKUP(I1129,'DE-PARA'!B:D,3,0),VLOOKUP(I1129,'DE-PARA'!C:D,2,0)),"NÃO ENCONTRADO")</f>
        <v>Serviços</v>
      </c>
      <c r="L1129" s="50" t="str">
        <f>VLOOKUP(K1129,'Base -Receita-Despesa'!$B:$P,1,FALSE)</f>
        <v>Serviços</v>
      </c>
    </row>
    <row r="1130" spans="1:12" ht="15" customHeight="1" x14ac:dyDescent="0.3">
      <c r="A1130" s="82" t="str">
        <f t="shared" si="34"/>
        <v>2016</v>
      </c>
      <c r="B1130" s="72" t="s">
        <v>131</v>
      </c>
      <c r="C1130" s="73" t="s">
        <v>132</v>
      </c>
      <c r="D1130" s="74" t="str">
        <f t="shared" si="35"/>
        <v>mai/2016</v>
      </c>
      <c r="E1130" s="53">
        <v>42507</v>
      </c>
      <c r="F1130" s="75" t="s">
        <v>969</v>
      </c>
      <c r="G1130" s="72"/>
      <c r="H1130" s="49" t="s">
        <v>212</v>
      </c>
      <c r="I1130" s="49" t="s">
        <v>138</v>
      </c>
      <c r="J1130" s="76">
        <v>-4707.62</v>
      </c>
      <c r="K1130" s="83" t="str">
        <f>IFERROR(IFERROR(VLOOKUP(I1130,'DE-PARA'!B:D,3,0),VLOOKUP(I1130,'DE-PARA'!C:D,2,0)),"NÃO ENCONTRADO")</f>
        <v>Serviços</v>
      </c>
      <c r="L1130" s="50" t="str">
        <f>VLOOKUP(K1130,'Base -Receita-Despesa'!$B:$P,1,FALSE)</f>
        <v>Serviços</v>
      </c>
    </row>
    <row r="1131" spans="1:12" ht="15" customHeight="1" x14ac:dyDescent="0.3">
      <c r="A1131" s="82" t="str">
        <f t="shared" si="34"/>
        <v>2016</v>
      </c>
      <c r="B1131" s="72" t="s">
        <v>131</v>
      </c>
      <c r="C1131" s="73" t="s">
        <v>132</v>
      </c>
      <c r="D1131" s="74" t="str">
        <f t="shared" si="35"/>
        <v>mai/2016</v>
      </c>
      <c r="E1131" s="53">
        <v>42507</v>
      </c>
      <c r="F1131" s="75" t="s">
        <v>970</v>
      </c>
      <c r="G1131" s="72"/>
      <c r="H1131" s="49" t="s">
        <v>170</v>
      </c>
      <c r="I1131" s="49" t="s">
        <v>171</v>
      </c>
      <c r="J1131" s="76">
        <v>-18564.88</v>
      </c>
      <c r="K1131" s="83" t="str">
        <f>IFERROR(IFERROR(VLOOKUP(I1131,'DE-PARA'!B:D,3,0),VLOOKUP(I1131,'DE-PARA'!C:D,2,0)),"NÃO ENCONTRADO")</f>
        <v>Serviços</v>
      </c>
      <c r="L1131" s="50" t="str">
        <f>VLOOKUP(K1131,'Base -Receita-Despesa'!$B:$P,1,FALSE)</f>
        <v>Serviços</v>
      </c>
    </row>
    <row r="1132" spans="1:12" ht="15" customHeight="1" x14ac:dyDescent="0.3">
      <c r="A1132" s="82" t="str">
        <f t="shared" si="34"/>
        <v>2016</v>
      </c>
      <c r="B1132" s="72" t="s">
        <v>131</v>
      </c>
      <c r="C1132" s="73" t="s">
        <v>132</v>
      </c>
      <c r="D1132" s="74" t="str">
        <f t="shared" si="35"/>
        <v>mai/2016</v>
      </c>
      <c r="E1132" s="53">
        <v>42508</v>
      </c>
      <c r="F1132" s="75" t="s">
        <v>154</v>
      </c>
      <c r="G1132" s="72"/>
      <c r="H1132" s="49" t="s">
        <v>552</v>
      </c>
      <c r="I1132" s="49" t="s">
        <v>1497</v>
      </c>
      <c r="J1132" s="76">
        <v>6300</v>
      </c>
      <c r="K1132" s="83" t="str">
        <f>IFERROR(IFERROR(VLOOKUP(I1132,'DE-PARA'!B:D,3,0),VLOOKUP(I1132,'DE-PARA'!C:D,2,0)),"NÃO ENCONTRADO")</f>
        <v>Repasses Contrato de Gestão</v>
      </c>
      <c r="L1132" s="50" t="str">
        <f>VLOOKUP(K1132,'Base -Receita-Despesa'!$B:$P,1,FALSE)</f>
        <v>Repasses Contrato de Gestão</v>
      </c>
    </row>
    <row r="1133" spans="1:12" ht="15" customHeight="1" x14ac:dyDescent="0.3">
      <c r="A1133" s="82" t="str">
        <f t="shared" si="34"/>
        <v>2016</v>
      </c>
      <c r="B1133" s="72" t="s">
        <v>131</v>
      </c>
      <c r="C1133" s="73" t="s">
        <v>132</v>
      </c>
      <c r="D1133" s="74" t="str">
        <f t="shared" si="35"/>
        <v>mai/2016</v>
      </c>
      <c r="E1133" s="53">
        <v>42508</v>
      </c>
      <c r="F1133" s="75" t="s">
        <v>971</v>
      </c>
      <c r="G1133" s="72"/>
      <c r="H1133" s="49" t="s">
        <v>368</v>
      </c>
      <c r="I1133" s="49" t="s">
        <v>159</v>
      </c>
      <c r="J1133" s="76">
        <v>-770.72</v>
      </c>
      <c r="K1133" s="83" t="str">
        <f>IFERROR(IFERROR(VLOOKUP(I1133,'DE-PARA'!B:D,3,0),VLOOKUP(I1133,'DE-PARA'!C:D,2,0)),"NÃO ENCONTRADO")</f>
        <v>Materiais</v>
      </c>
      <c r="L1133" s="50" t="str">
        <f>VLOOKUP(K1133,'Base -Receita-Despesa'!$B:$P,1,FALSE)</f>
        <v>Materiais</v>
      </c>
    </row>
    <row r="1134" spans="1:12" ht="15" customHeight="1" x14ac:dyDescent="0.3">
      <c r="A1134" s="82" t="str">
        <f t="shared" si="34"/>
        <v>2016</v>
      </c>
      <c r="B1134" s="72" t="s">
        <v>131</v>
      </c>
      <c r="C1134" s="73" t="s">
        <v>132</v>
      </c>
      <c r="D1134" s="74" t="str">
        <f t="shared" si="35"/>
        <v>mai/2016</v>
      </c>
      <c r="E1134" s="53">
        <v>42508</v>
      </c>
      <c r="F1134" s="75" t="s">
        <v>840</v>
      </c>
      <c r="G1134" s="72"/>
      <c r="H1134" s="49" t="s">
        <v>863</v>
      </c>
      <c r="I1134" s="49" t="s">
        <v>129</v>
      </c>
      <c r="J1134" s="76">
        <v>-7.85</v>
      </c>
      <c r="K1134" s="83" t="str">
        <f>IFERROR(IFERROR(VLOOKUP(I1134,'DE-PARA'!B:D,3,0),VLOOKUP(I1134,'DE-PARA'!C:D,2,0)),"NÃO ENCONTRADO")</f>
        <v>Outras Saídas</v>
      </c>
      <c r="L1134" s="50" t="str">
        <f>VLOOKUP(K1134,'Base -Receita-Despesa'!$B:$P,1,FALSE)</f>
        <v>Outras Saídas</v>
      </c>
    </row>
    <row r="1135" spans="1:12" ht="15" customHeight="1" x14ac:dyDescent="0.3">
      <c r="A1135" s="82" t="str">
        <f t="shared" si="34"/>
        <v>2016</v>
      </c>
      <c r="B1135" s="72" t="s">
        <v>131</v>
      </c>
      <c r="C1135" s="73" t="s">
        <v>132</v>
      </c>
      <c r="D1135" s="74" t="str">
        <f t="shared" si="35"/>
        <v>mai/2016</v>
      </c>
      <c r="E1135" s="53">
        <v>42508</v>
      </c>
      <c r="F1135" s="75" t="s">
        <v>184</v>
      </c>
      <c r="G1135" s="72"/>
      <c r="H1135" s="49" t="s">
        <v>972</v>
      </c>
      <c r="I1135" s="49" t="s">
        <v>171</v>
      </c>
      <c r="J1135" s="76">
        <v>-343.46</v>
      </c>
      <c r="K1135" s="83" t="str">
        <f>IFERROR(IFERROR(VLOOKUP(I1135,'DE-PARA'!B:D,3,0),VLOOKUP(I1135,'DE-PARA'!C:D,2,0)),"NÃO ENCONTRADO")</f>
        <v>Serviços</v>
      </c>
      <c r="L1135" s="50" t="str">
        <f>VLOOKUP(K1135,'Base -Receita-Despesa'!$B:$P,1,FALSE)</f>
        <v>Serviços</v>
      </c>
    </row>
    <row r="1136" spans="1:12" ht="15" customHeight="1" x14ac:dyDescent="0.3">
      <c r="A1136" s="82" t="str">
        <f t="shared" si="34"/>
        <v>2016</v>
      </c>
      <c r="B1136" s="72" t="s">
        <v>131</v>
      </c>
      <c r="C1136" s="73" t="s">
        <v>132</v>
      </c>
      <c r="D1136" s="74" t="str">
        <f t="shared" si="35"/>
        <v>mai/2016</v>
      </c>
      <c r="E1136" s="53">
        <v>42508</v>
      </c>
      <c r="F1136" s="75" t="s">
        <v>949</v>
      </c>
      <c r="G1136" s="72"/>
      <c r="H1136" s="49" t="s">
        <v>973</v>
      </c>
      <c r="I1136" s="49" t="s">
        <v>171</v>
      </c>
      <c r="J1136" s="76">
        <v>-312.23</v>
      </c>
      <c r="K1136" s="83" t="str">
        <f>IFERROR(IFERROR(VLOOKUP(I1136,'DE-PARA'!B:D,3,0),VLOOKUP(I1136,'DE-PARA'!C:D,2,0)),"NÃO ENCONTRADO")</f>
        <v>Serviços</v>
      </c>
      <c r="L1136" s="50" t="str">
        <f>VLOOKUP(K1136,'Base -Receita-Despesa'!$B:$P,1,FALSE)</f>
        <v>Serviços</v>
      </c>
    </row>
    <row r="1137" spans="1:12" ht="15" customHeight="1" x14ac:dyDescent="0.3">
      <c r="A1137" s="82" t="str">
        <f t="shared" si="34"/>
        <v>2016</v>
      </c>
      <c r="B1137" s="72" t="s">
        <v>131</v>
      </c>
      <c r="C1137" s="73" t="s">
        <v>132</v>
      </c>
      <c r="D1137" s="74" t="str">
        <f t="shared" si="35"/>
        <v>mai/2016</v>
      </c>
      <c r="E1137" s="53">
        <v>42509</v>
      </c>
      <c r="F1137" s="75" t="s">
        <v>154</v>
      </c>
      <c r="G1137" s="72"/>
      <c r="H1137" s="49" t="s">
        <v>552</v>
      </c>
      <c r="I1137" s="49" t="s">
        <v>1497</v>
      </c>
      <c r="J1137" s="76">
        <v>5086.92</v>
      </c>
      <c r="K1137" s="83" t="str">
        <f>IFERROR(IFERROR(VLOOKUP(I1137,'DE-PARA'!B:D,3,0),VLOOKUP(I1137,'DE-PARA'!C:D,2,0)),"NÃO ENCONTRADO")</f>
        <v>Repasses Contrato de Gestão</v>
      </c>
      <c r="L1137" s="50" t="str">
        <f>VLOOKUP(K1137,'Base -Receita-Despesa'!$B:$P,1,FALSE)</f>
        <v>Repasses Contrato de Gestão</v>
      </c>
    </row>
    <row r="1138" spans="1:12" ht="15" customHeight="1" x14ac:dyDescent="0.3">
      <c r="A1138" s="82" t="str">
        <f t="shared" si="34"/>
        <v>2016</v>
      </c>
      <c r="B1138" s="72" t="s">
        <v>131</v>
      </c>
      <c r="C1138" s="73" t="s">
        <v>132</v>
      </c>
      <c r="D1138" s="74" t="str">
        <f t="shared" si="35"/>
        <v>mai/2016</v>
      </c>
      <c r="E1138" s="53">
        <v>42509</v>
      </c>
      <c r="F1138" s="75" t="s">
        <v>840</v>
      </c>
      <c r="G1138" s="72"/>
      <c r="H1138" s="49" t="s">
        <v>863</v>
      </c>
      <c r="I1138" s="49" t="s">
        <v>129</v>
      </c>
      <c r="J1138" s="76">
        <v>-7.85</v>
      </c>
      <c r="K1138" s="83" t="str">
        <f>IFERROR(IFERROR(VLOOKUP(I1138,'DE-PARA'!B:D,3,0),VLOOKUP(I1138,'DE-PARA'!C:D,2,0)),"NÃO ENCONTRADO")</f>
        <v>Outras Saídas</v>
      </c>
      <c r="L1138" s="50" t="str">
        <f>VLOOKUP(K1138,'Base -Receita-Despesa'!$B:$P,1,FALSE)</f>
        <v>Outras Saídas</v>
      </c>
    </row>
    <row r="1139" spans="1:12" ht="15" customHeight="1" x14ac:dyDescent="0.3">
      <c r="A1139" s="82" t="str">
        <f t="shared" si="34"/>
        <v>2016</v>
      </c>
      <c r="B1139" s="72" t="s">
        <v>131</v>
      </c>
      <c r="C1139" s="73" t="s">
        <v>132</v>
      </c>
      <c r="D1139" s="74" t="str">
        <f t="shared" si="35"/>
        <v>mai/2016</v>
      </c>
      <c r="E1139" s="53">
        <v>42509</v>
      </c>
      <c r="F1139" s="75" t="s">
        <v>840</v>
      </c>
      <c r="G1139" s="72"/>
      <c r="H1139" s="49" t="s">
        <v>863</v>
      </c>
      <c r="I1139" s="49" t="s">
        <v>129</v>
      </c>
      <c r="J1139" s="76">
        <v>-7.85</v>
      </c>
      <c r="K1139" s="83" t="str">
        <f>IFERROR(IFERROR(VLOOKUP(I1139,'DE-PARA'!B:D,3,0),VLOOKUP(I1139,'DE-PARA'!C:D,2,0)),"NÃO ENCONTRADO")</f>
        <v>Outras Saídas</v>
      </c>
      <c r="L1139" s="50" t="str">
        <f>VLOOKUP(K1139,'Base -Receita-Despesa'!$B:$P,1,FALSE)</f>
        <v>Outras Saídas</v>
      </c>
    </row>
    <row r="1140" spans="1:12" ht="15" customHeight="1" x14ac:dyDescent="0.3">
      <c r="A1140" s="82" t="str">
        <f t="shared" si="34"/>
        <v>2016</v>
      </c>
      <c r="B1140" s="72" t="s">
        <v>131</v>
      </c>
      <c r="C1140" s="73" t="s">
        <v>132</v>
      </c>
      <c r="D1140" s="74" t="str">
        <f t="shared" si="35"/>
        <v>mai/2016</v>
      </c>
      <c r="E1140" s="53">
        <v>42509</v>
      </c>
      <c r="F1140" s="75" t="s">
        <v>426</v>
      </c>
      <c r="G1140" s="72"/>
      <c r="H1140" s="49" t="s">
        <v>427</v>
      </c>
      <c r="I1140" s="49" t="s">
        <v>428</v>
      </c>
      <c r="J1140" s="76">
        <v>-880</v>
      </c>
      <c r="K1140" s="83" t="str">
        <f>IFERROR(IFERROR(VLOOKUP(I1140,'DE-PARA'!B:D,3,0),VLOOKUP(I1140,'DE-PARA'!C:D,2,0)),"NÃO ENCONTRADO")</f>
        <v>Aluguéis</v>
      </c>
      <c r="L1140" s="50" t="str">
        <f>VLOOKUP(K1140,'Base -Receita-Despesa'!$B:$P,1,FALSE)</f>
        <v>Aluguéis</v>
      </c>
    </row>
    <row r="1141" spans="1:12" ht="15" customHeight="1" x14ac:dyDescent="0.3">
      <c r="A1141" s="82" t="str">
        <f t="shared" si="34"/>
        <v>2016</v>
      </c>
      <c r="B1141" s="72" t="s">
        <v>131</v>
      </c>
      <c r="C1141" s="73" t="s">
        <v>132</v>
      </c>
      <c r="D1141" s="74" t="str">
        <f t="shared" si="35"/>
        <v>mai/2016</v>
      </c>
      <c r="E1141" s="53">
        <v>42509</v>
      </c>
      <c r="F1141" s="75" t="s">
        <v>974</v>
      </c>
      <c r="G1141" s="72"/>
      <c r="H1141" s="49" t="s">
        <v>975</v>
      </c>
      <c r="I1141" s="49" t="s">
        <v>114</v>
      </c>
      <c r="J1141" s="76">
        <v>-32385.38</v>
      </c>
      <c r="K1141" s="83" t="str">
        <f>IFERROR(IFERROR(VLOOKUP(I1141,'DE-PARA'!B:D,3,0),VLOOKUP(I1141,'DE-PARA'!C:D,2,0)),"NÃO ENCONTRADO")</f>
        <v>Serviços</v>
      </c>
      <c r="L1141" s="50" t="str">
        <f>VLOOKUP(K1141,'Base -Receita-Despesa'!$B:$P,1,FALSE)</f>
        <v>Serviços</v>
      </c>
    </row>
    <row r="1142" spans="1:12" ht="15" customHeight="1" x14ac:dyDescent="0.3">
      <c r="A1142" s="82" t="str">
        <f t="shared" si="34"/>
        <v>2016</v>
      </c>
      <c r="B1142" s="72" t="s">
        <v>131</v>
      </c>
      <c r="C1142" s="73" t="s">
        <v>132</v>
      </c>
      <c r="D1142" s="74" t="str">
        <f t="shared" si="35"/>
        <v>mai/2016</v>
      </c>
      <c r="E1142" s="53">
        <v>42510</v>
      </c>
      <c r="F1142" s="75" t="s">
        <v>154</v>
      </c>
      <c r="G1142" s="72"/>
      <c r="H1142" s="49" t="s">
        <v>552</v>
      </c>
      <c r="I1142" s="49" t="s">
        <v>1497</v>
      </c>
      <c r="J1142" s="76">
        <v>278957.07</v>
      </c>
      <c r="K1142" s="83" t="str">
        <f>IFERROR(IFERROR(VLOOKUP(I1142,'DE-PARA'!B:D,3,0),VLOOKUP(I1142,'DE-PARA'!C:D,2,0)),"NÃO ENCONTRADO")</f>
        <v>Repasses Contrato de Gestão</v>
      </c>
      <c r="L1142" s="50" t="str">
        <f>VLOOKUP(K1142,'Base -Receita-Despesa'!$B:$P,1,FALSE)</f>
        <v>Repasses Contrato de Gestão</v>
      </c>
    </row>
    <row r="1143" spans="1:12" ht="15" customHeight="1" x14ac:dyDescent="0.3">
      <c r="A1143" s="82" t="str">
        <f t="shared" si="34"/>
        <v>2016</v>
      </c>
      <c r="B1143" s="72" t="s">
        <v>131</v>
      </c>
      <c r="C1143" s="73" t="s">
        <v>132</v>
      </c>
      <c r="D1143" s="74" t="str">
        <f t="shared" si="35"/>
        <v>mai/2016</v>
      </c>
      <c r="E1143" s="53">
        <v>42510</v>
      </c>
      <c r="F1143" s="75" t="s">
        <v>976</v>
      </c>
      <c r="G1143" s="72"/>
      <c r="H1143" s="49" t="s">
        <v>977</v>
      </c>
      <c r="I1143" s="49" t="s">
        <v>112</v>
      </c>
      <c r="J1143" s="76">
        <v>-2729</v>
      </c>
      <c r="K1143" s="83" t="str">
        <f>IFERROR(IFERROR(VLOOKUP(I1143,'DE-PARA'!B:D,3,0),VLOOKUP(I1143,'DE-PARA'!C:D,2,0)),"NÃO ENCONTRADO")</f>
        <v>Serviços</v>
      </c>
      <c r="L1143" s="50" t="str">
        <f>VLOOKUP(K1143,'Base -Receita-Despesa'!$B:$P,1,FALSE)</f>
        <v>Serviços</v>
      </c>
    </row>
    <row r="1144" spans="1:12" ht="15" customHeight="1" x14ac:dyDescent="0.3">
      <c r="A1144" s="82" t="str">
        <f t="shared" si="34"/>
        <v>2016</v>
      </c>
      <c r="B1144" s="72" t="s">
        <v>131</v>
      </c>
      <c r="C1144" s="73" t="s">
        <v>132</v>
      </c>
      <c r="D1144" s="74" t="str">
        <f t="shared" si="35"/>
        <v>mai/2016</v>
      </c>
      <c r="E1144" s="53">
        <v>42510</v>
      </c>
      <c r="F1144" s="75" t="s">
        <v>978</v>
      </c>
      <c r="G1144" s="72"/>
      <c r="H1144" s="49" t="s">
        <v>979</v>
      </c>
      <c r="I1144" s="49" t="s">
        <v>159</v>
      </c>
      <c r="J1144" s="76">
        <v>197.59</v>
      </c>
      <c r="K1144" s="83" t="str">
        <f>IFERROR(IFERROR(VLOOKUP(I1144,'DE-PARA'!B:D,3,0),VLOOKUP(I1144,'DE-PARA'!C:D,2,0)),"NÃO ENCONTRADO")</f>
        <v>Materiais</v>
      </c>
      <c r="L1144" s="50" t="str">
        <f>VLOOKUP(K1144,'Base -Receita-Despesa'!$B:$P,1,FALSE)</f>
        <v>Materiais</v>
      </c>
    </row>
    <row r="1145" spans="1:12" ht="15" customHeight="1" x14ac:dyDescent="0.3">
      <c r="A1145" s="82" t="str">
        <f t="shared" si="34"/>
        <v>2016</v>
      </c>
      <c r="B1145" s="72" t="s">
        <v>131</v>
      </c>
      <c r="C1145" s="73" t="s">
        <v>132</v>
      </c>
      <c r="D1145" s="74" t="str">
        <f t="shared" si="35"/>
        <v>mai/2016</v>
      </c>
      <c r="E1145" s="53">
        <v>42510</v>
      </c>
      <c r="F1145" s="75" t="s">
        <v>137</v>
      </c>
      <c r="G1145" s="72"/>
      <c r="H1145" s="49" t="s">
        <v>198</v>
      </c>
      <c r="I1145" s="49" t="s">
        <v>603</v>
      </c>
      <c r="J1145" s="76">
        <v>37122.78</v>
      </c>
      <c r="K1145" s="83" t="str">
        <f>IFERROR(IFERROR(VLOOKUP(I1145,'DE-PARA'!B:D,3,0),VLOOKUP(I1145,'DE-PARA'!C:D,2,0)),"NÃO ENCONTRADO")</f>
        <v>Serviços</v>
      </c>
      <c r="L1145" s="50" t="str">
        <f>VLOOKUP(K1145,'Base -Receita-Despesa'!$B:$P,1,FALSE)</f>
        <v>Serviços</v>
      </c>
    </row>
    <row r="1146" spans="1:12" ht="15" customHeight="1" x14ac:dyDescent="0.3">
      <c r="A1146" s="82" t="str">
        <f t="shared" si="34"/>
        <v>2016</v>
      </c>
      <c r="B1146" s="72" t="s">
        <v>131</v>
      </c>
      <c r="C1146" s="73" t="s">
        <v>132</v>
      </c>
      <c r="D1146" s="74" t="str">
        <f t="shared" si="35"/>
        <v>mai/2016</v>
      </c>
      <c r="E1146" s="53">
        <v>42510</v>
      </c>
      <c r="F1146" s="75" t="s">
        <v>980</v>
      </c>
      <c r="G1146" s="72"/>
      <c r="H1146" s="49" t="s">
        <v>198</v>
      </c>
      <c r="I1146" s="49" t="s">
        <v>603</v>
      </c>
      <c r="J1146" s="76">
        <v>-37122.78</v>
      </c>
      <c r="K1146" s="83" t="str">
        <f>IFERROR(IFERROR(VLOOKUP(I1146,'DE-PARA'!B:D,3,0),VLOOKUP(I1146,'DE-PARA'!C:D,2,0)),"NÃO ENCONTRADO")</f>
        <v>Serviços</v>
      </c>
      <c r="L1146" s="50" t="str">
        <f>VLOOKUP(K1146,'Base -Receita-Despesa'!$B:$P,1,FALSE)</f>
        <v>Serviços</v>
      </c>
    </row>
    <row r="1147" spans="1:12" ht="15" customHeight="1" x14ac:dyDescent="0.3">
      <c r="A1147" s="82" t="str">
        <f t="shared" si="34"/>
        <v>2016</v>
      </c>
      <c r="B1147" s="72" t="s">
        <v>131</v>
      </c>
      <c r="C1147" s="73" t="s">
        <v>132</v>
      </c>
      <c r="D1147" s="74" t="str">
        <f t="shared" si="35"/>
        <v>mai/2016</v>
      </c>
      <c r="E1147" s="53">
        <v>42510</v>
      </c>
      <c r="F1147" s="75" t="s">
        <v>840</v>
      </c>
      <c r="G1147" s="72"/>
      <c r="H1147" s="49" t="s">
        <v>863</v>
      </c>
      <c r="I1147" s="49" t="s">
        <v>129</v>
      </c>
      <c r="J1147" s="76">
        <v>-7.85</v>
      </c>
      <c r="K1147" s="83" t="str">
        <f>IFERROR(IFERROR(VLOOKUP(I1147,'DE-PARA'!B:D,3,0),VLOOKUP(I1147,'DE-PARA'!C:D,2,0)),"NÃO ENCONTRADO")</f>
        <v>Outras Saídas</v>
      </c>
      <c r="L1147" s="50" t="str">
        <f>VLOOKUP(K1147,'Base -Receita-Despesa'!$B:$P,1,FALSE)</f>
        <v>Outras Saídas</v>
      </c>
    </row>
    <row r="1148" spans="1:12" ht="15" customHeight="1" x14ac:dyDescent="0.3">
      <c r="A1148" s="82" t="str">
        <f t="shared" si="34"/>
        <v>2016</v>
      </c>
      <c r="B1148" s="72" t="s">
        <v>131</v>
      </c>
      <c r="C1148" s="73" t="s">
        <v>132</v>
      </c>
      <c r="D1148" s="74" t="str">
        <f t="shared" si="35"/>
        <v>mai/2016</v>
      </c>
      <c r="E1148" s="53">
        <v>42510</v>
      </c>
      <c r="F1148" s="75" t="s">
        <v>840</v>
      </c>
      <c r="G1148" s="72"/>
      <c r="H1148" s="49" t="s">
        <v>863</v>
      </c>
      <c r="I1148" s="49" t="s">
        <v>129</v>
      </c>
      <c r="J1148" s="76">
        <v>-7.85</v>
      </c>
      <c r="K1148" s="83" t="str">
        <f>IFERROR(IFERROR(VLOOKUP(I1148,'DE-PARA'!B:D,3,0),VLOOKUP(I1148,'DE-PARA'!C:D,2,0)),"NÃO ENCONTRADO")</f>
        <v>Outras Saídas</v>
      </c>
      <c r="L1148" s="50" t="str">
        <f>VLOOKUP(K1148,'Base -Receita-Despesa'!$B:$P,1,FALSE)</f>
        <v>Outras Saídas</v>
      </c>
    </row>
    <row r="1149" spans="1:12" ht="15" customHeight="1" x14ac:dyDescent="0.3">
      <c r="A1149" s="82" t="str">
        <f t="shared" si="34"/>
        <v>2016</v>
      </c>
      <c r="B1149" s="72" t="s">
        <v>131</v>
      </c>
      <c r="C1149" s="73" t="s">
        <v>132</v>
      </c>
      <c r="D1149" s="74" t="str">
        <f t="shared" si="35"/>
        <v>mai/2016</v>
      </c>
      <c r="E1149" s="53">
        <v>42510</v>
      </c>
      <c r="F1149" s="75" t="s">
        <v>840</v>
      </c>
      <c r="G1149" s="72"/>
      <c r="H1149" s="49" t="s">
        <v>863</v>
      </c>
      <c r="I1149" s="49" t="s">
        <v>129</v>
      </c>
      <c r="J1149" s="76">
        <v>-7.85</v>
      </c>
      <c r="K1149" s="83" t="str">
        <f>IFERROR(IFERROR(VLOOKUP(I1149,'DE-PARA'!B:D,3,0),VLOOKUP(I1149,'DE-PARA'!C:D,2,0)),"NÃO ENCONTRADO")</f>
        <v>Outras Saídas</v>
      </c>
      <c r="L1149" s="50" t="str">
        <f>VLOOKUP(K1149,'Base -Receita-Despesa'!$B:$P,1,FALSE)</f>
        <v>Outras Saídas</v>
      </c>
    </row>
    <row r="1150" spans="1:12" ht="15" customHeight="1" x14ac:dyDescent="0.3">
      <c r="A1150" s="82" t="str">
        <f t="shared" si="34"/>
        <v>2016</v>
      </c>
      <c r="B1150" s="72" t="s">
        <v>131</v>
      </c>
      <c r="C1150" s="73" t="s">
        <v>132</v>
      </c>
      <c r="D1150" s="74" t="str">
        <f t="shared" si="35"/>
        <v>mai/2016</v>
      </c>
      <c r="E1150" s="53">
        <v>42510</v>
      </c>
      <c r="F1150" s="75" t="s">
        <v>840</v>
      </c>
      <c r="G1150" s="72"/>
      <c r="H1150" s="49" t="s">
        <v>863</v>
      </c>
      <c r="I1150" s="49" t="s">
        <v>129</v>
      </c>
      <c r="J1150" s="76">
        <v>-7.85</v>
      </c>
      <c r="K1150" s="83" t="str">
        <f>IFERROR(IFERROR(VLOOKUP(I1150,'DE-PARA'!B:D,3,0),VLOOKUP(I1150,'DE-PARA'!C:D,2,0)),"NÃO ENCONTRADO")</f>
        <v>Outras Saídas</v>
      </c>
      <c r="L1150" s="50" t="str">
        <f>VLOOKUP(K1150,'Base -Receita-Despesa'!$B:$P,1,FALSE)</f>
        <v>Outras Saídas</v>
      </c>
    </row>
    <row r="1151" spans="1:12" ht="15" customHeight="1" x14ac:dyDescent="0.3">
      <c r="A1151" s="82" t="str">
        <f t="shared" si="34"/>
        <v>2016</v>
      </c>
      <c r="B1151" s="72" t="s">
        <v>131</v>
      </c>
      <c r="C1151" s="73" t="s">
        <v>132</v>
      </c>
      <c r="D1151" s="74" t="str">
        <f t="shared" si="35"/>
        <v>mai/2016</v>
      </c>
      <c r="E1151" s="53">
        <v>42510</v>
      </c>
      <c r="F1151" s="75" t="s">
        <v>840</v>
      </c>
      <c r="G1151" s="72"/>
      <c r="H1151" s="49" t="s">
        <v>863</v>
      </c>
      <c r="I1151" s="49" t="s">
        <v>129</v>
      </c>
      <c r="J1151" s="76">
        <v>-7.85</v>
      </c>
      <c r="K1151" s="83" t="str">
        <f>IFERROR(IFERROR(VLOOKUP(I1151,'DE-PARA'!B:D,3,0),VLOOKUP(I1151,'DE-PARA'!C:D,2,0)),"NÃO ENCONTRADO")</f>
        <v>Outras Saídas</v>
      </c>
      <c r="L1151" s="50" t="str">
        <f>VLOOKUP(K1151,'Base -Receita-Despesa'!$B:$P,1,FALSE)</f>
        <v>Outras Saídas</v>
      </c>
    </row>
    <row r="1152" spans="1:12" ht="15" customHeight="1" x14ac:dyDescent="0.3">
      <c r="A1152" s="82" t="str">
        <f t="shared" si="34"/>
        <v>2016</v>
      </c>
      <c r="B1152" s="72" t="s">
        <v>131</v>
      </c>
      <c r="C1152" s="73" t="s">
        <v>132</v>
      </c>
      <c r="D1152" s="74" t="str">
        <f t="shared" si="35"/>
        <v>mai/2016</v>
      </c>
      <c r="E1152" s="53">
        <v>42510</v>
      </c>
      <c r="F1152" s="75" t="s">
        <v>840</v>
      </c>
      <c r="G1152" s="72"/>
      <c r="H1152" s="49" t="s">
        <v>863</v>
      </c>
      <c r="I1152" s="49" t="s">
        <v>129</v>
      </c>
      <c r="J1152" s="76">
        <v>-7.85</v>
      </c>
      <c r="K1152" s="83" t="str">
        <f>IFERROR(IFERROR(VLOOKUP(I1152,'DE-PARA'!B:D,3,0),VLOOKUP(I1152,'DE-PARA'!C:D,2,0)),"NÃO ENCONTRADO")</f>
        <v>Outras Saídas</v>
      </c>
      <c r="L1152" s="50" t="str">
        <f>VLOOKUP(K1152,'Base -Receita-Despesa'!$B:$P,1,FALSE)</f>
        <v>Outras Saídas</v>
      </c>
    </row>
    <row r="1153" spans="1:12" ht="15" customHeight="1" x14ac:dyDescent="0.3">
      <c r="A1153" s="82" t="str">
        <f t="shared" si="34"/>
        <v>2016</v>
      </c>
      <c r="B1153" s="72" t="s">
        <v>131</v>
      </c>
      <c r="C1153" s="73" t="s">
        <v>132</v>
      </c>
      <c r="D1153" s="74" t="str">
        <f t="shared" si="35"/>
        <v>mai/2016</v>
      </c>
      <c r="E1153" s="53">
        <v>42510</v>
      </c>
      <c r="F1153" s="75" t="s">
        <v>840</v>
      </c>
      <c r="G1153" s="72"/>
      <c r="H1153" s="49" t="s">
        <v>863</v>
      </c>
      <c r="I1153" s="49" t="s">
        <v>129</v>
      </c>
      <c r="J1153" s="76">
        <v>-7.85</v>
      </c>
      <c r="K1153" s="83" t="str">
        <f>IFERROR(IFERROR(VLOOKUP(I1153,'DE-PARA'!B:D,3,0),VLOOKUP(I1153,'DE-PARA'!C:D,2,0)),"NÃO ENCONTRADO")</f>
        <v>Outras Saídas</v>
      </c>
      <c r="L1153" s="50" t="str">
        <f>VLOOKUP(K1153,'Base -Receita-Despesa'!$B:$P,1,FALSE)</f>
        <v>Outras Saídas</v>
      </c>
    </row>
    <row r="1154" spans="1:12" ht="15" customHeight="1" x14ac:dyDescent="0.3">
      <c r="A1154" s="82" t="str">
        <f t="shared" si="34"/>
        <v>2016</v>
      </c>
      <c r="B1154" s="72" t="s">
        <v>131</v>
      </c>
      <c r="C1154" s="73" t="s">
        <v>132</v>
      </c>
      <c r="D1154" s="74" t="str">
        <f t="shared" si="35"/>
        <v>mai/2016</v>
      </c>
      <c r="E1154" s="53">
        <v>42510</v>
      </c>
      <c r="F1154" s="75" t="s">
        <v>840</v>
      </c>
      <c r="G1154" s="72"/>
      <c r="H1154" s="49" t="s">
        <v>863</v>
      </c>
      <c r="I1154" s="49" t="s">
        <v>129</v>
      </c>
      <c r="J1154" s="76">
        <v>-7.85</v>
      </c>
      <c r="K1154" s="83" t="str">
        <f>IFERROR(IFERROR(VLOOKUP(I1154,'DE-PARA'!B:D,3,0),VLOOKUP(I1154,'DE-PARA'!C:D,2,0)),"NÃO ENCONTRADO")</f>
        <v>Outras Saídas</v>
      </c>
      <c r="L1154" s="50" t="str">
        <f>VLOOKUP(K1154,'Base -Receita-Despesa'!$B:$P,1,FALSE)</f>
        <v>Outras Saídas</v>
      </c>
    </row>
    <row r="1155" spans="1:12" ht="15" customHeight="1" x14ac:dyDescent="0.3">
      <c r="A1155" s="82" t="str">
        <f t="shared" si="34"/>
        <v>2016</v>
      </c>
      <c r="B1155" s="72" t="s">
        <v>131</v>
      </c>
      <c r="C1155" s="73" t="s">
        <v>132</v>
      </c>
      <c r="D1155" s="74" t="str">
        <f t="shared" si="35"/>
        <v>mai/2016</v>
      </c>
      <c r="E1155" s="53">
        <v>42510</v>
      </c>
      <c r="F1155" s="75" t="s">
        <v>840</v>
      </c>
      <c r="G1155" s="72"/>
      <c r="H1155" s="49" t="s">
        <v>863</v>
      </c>
      <c r="I1155" s="49" t="s">
        <v>129</v>
      </c>
      <c r="J1155" s="76">
        <v>-7.85</v>
      </c>
      <c r="K1155" s="83" t="str">
        <f>IFERROR(IFERROR(VLOOKUP(I1155,'DE-PARA'!B:D,3,0),VLOOKUP(I1155,'DE-PARA'!C:D,2,0)),"NÃO ENCONTRADO")</f>
        <v>Outras Saídas</v>
      </c>
      <c r="L1155" s="50" t="str">
        <f>VLOOKUP(K1155,'Base -Receita-Despesa'!$B:$P,1,FALSE)</f>
        <v>Outras Saídas</v>
      </c>
    </row>
    <row r="1156" spans="1:12" ht="15" customHeight="1" x14ac:dyDescent="0.3">
      <c r="A1156" s="82" t="str">
        <f t="shared" ref="A1156:A1219" si="36">IF(K1156="NÃO ENCONTRADO",0,RIGHT(D1156,4))</f>
        <v>2016</v>
      </c>
      <c r="B1156" s="72" t="s">
        <v>131</v>
      </c>
      <c r="C1156" s="73" t="s">
        <v>132</v>
      </c>
      <c r="D1156" s="74" t="str">
        <f t="shared" ref="D1156:D1219" si="37">TEXT(E1156,"mmm/aaaa")</f>
        <v>mai/2016</v>
      </c>
      <c r="E1156" s="53">
        <v>42510</v>
      </c>
      <c r="F1156" s="75" t="s">
        <v>840</v>
      </c>
      <c r="G1156" s="72"/>
      <c r="H1156" s="49" t="s">
        <v>863</v>
      </c>
      <c r="I1156" s="49" t="s">
        <v>129</v>
      </c>
      <c r="J1156" s="76">
        <v>-7.85</v>
      </c>
      <c r="K1156" s="83" t="str">
        <f>IFERROR(IFERROR(VLOOKUP(I1156,'DE-PARA'!B:D,3,0),VLOOKUP(I1156,'DE-PARA'!C:D,2,0)),"NÃO ENCONTRADO")</f>
        <v>Outras Saídas</v>
      </c>
      <c r="L1156" s="50" t="str">
        <f>VLOOKUP(K1156,'Base -Receita-Despesa'!$B:$P,1,FALSE)</f>
        <v>Outras Saídas</v>
      </c>
    </row>
    <row r="1157" spans="1:12" ht="15" customHeight="1" x14ac:dyDescent="0.3">
      <c r="A1157" s="82" t="str">
        <f t="shared" si="36"/>
        <v>2016</v>
      </c>
      <c r="B1157" s="72" t="s">
        <v>131</v>
      </c>
      <c r="C1157" s="73" t="s">
        <v>132</v>
      </c>
      <c r="D1157" s="74" t="str">
        <f t="shared" si="37"/>
        <v>mai/2016</v>
      </c>
      <c r="E1157" s="53">
        <v>42510</v>
      </c>
      <c r="F1157" s="75" t="s">
        <v>840</v>
      </c>
      <c r="G1157" s="72"/>
      <c r="H1157" s="49" t="s">
        <v>863</v>
      </c>
      <c r="I1157" s="49" t="s">
        <v>129</v>
      </c>
      <c r="J1157" s="76">
        <v>-7.85</v>
      </c>
      <c r="K1157" s="83" t="str">
        <f>IFERROR(IFERROR(VLOOKUP(I1157,'DE-PARA'!B:D,3,0),VLOOKUP(I1157,'DE-PARA'!C:D,2,0)),"NÃO ENCONTRADO")</f>
        <v>Outras Saídas</v>
      </c>
      <c r="L1157" s="50" t="str">
        <f>VLOOKUP(K1157,'Base -Receita-Despesa'!$B:$P,1,FALSE)</f>
        <v>Outras Saídas</v>
      </c>
    </row>
    <row r="1158" spans="1:12" ht="15" customHeight="1" x14ac:dyDescent="0.3">
      <c r="A1158" s="82" t="str">
        <f t="shared" si="36"/>
        <v>2016</v>
      </c>
      <c r="B1158" s="72" t="s">
        <v>131</v>
      </c>
      <c r="C1158" s="73" t="s">
        <v>132</v>
      </c>
      <c r="D1158" s="74" t="str">
        <f t="shared" si="37"/>
        <v>mai/2016</v>
      </c>
      <c r="E1158" s="53">
        <v>42510</v>
      </c>
      <c r="F1158" s="75" t="s">
        <v>981</v>
      </c>
      <c r="G1158" s="72"/>
      <c r="H1158" s="49" t="s">
        <v>982</v>
      </c>
      <c r="I1158" s="49" t="s">
        <v>122</v>
      </c>
      <c r="J1158" s="76">
        <v>49.12</v>
      </c>
      <c r="K1158" s="83" t="str">
        <f>IFERROR(IFERROR(VLOOKUP(I1158,'DE-PARA'!B:D,3,0),VLOOKUP(I1158,'DE-PARA'!C:D,2,0)),"NÃO ENCONTRADO")</f>
        <v>Encargos sobre Folha de Pagamento</v>
      </c>
      <c r="L1158" s="50" t="str">
        <f>VLOOKUP(K1158,'Base -Receita-Despesa'!$B:$P,1,FALSE)</f>
        <v>Encargos sobre Folha de Pagamento</v>
      </c>
    </row>
    <row r="1159" spans="1:12" ht="15" customHeight="1" x14ac:dyDescent="0.3">
      <c r="A1159" s="82" t="str">
        <f t="shared" si="36"/>
        <v>2016</v>
      </c>
      <c r="B1159" s="72" t="s">
        <v>131</v>
      </c>
      <c r="C1159" s="73" t="s">
        <v>132</v>
      </c>
      <c r="D1159" s="74" t="str">
        <f t="shared" si="37"/>
        <v>mai/2016</v>
      </c>
      <c r="E1159" s="53">
        <v>42510</v>
      </c>
      <c r="F1159" s="75" t="s">
        <v>983</v>
      </c>
      <c r="G1159" s="72"/>
      <c r="H1159" s="49" t="s">
        <v>202</v>
      </c>
      <c r="I1159" s="49" t="s">
        <v>191</v>
      </c>
      <c r="J1159" s="76">
        <v>-10000</v>
      </c>
      <c r="K1159" s="83" t="str">
        <f>IFERROR(IFERROR(VLOOKUP(I1159,'DE-PARA'!B:D,3,0),VLOOKUP(I1159,'DE-PARA'!C:D,2,0)),"NÃO ENCONTRADO")</f>
        <v>Serviços</v>
      </c>
      <c r="L1159" s="50" t="str">
        <f>VLOOKUP(K1159,'Base -Receita-Despesa'!$B:$P,1,FALSE)</f>
        <v>Serviços</v>
      </c>
    </row>
    <row r="1160" spans="1:12" ht="15" customHeight="1" x14ac:dyDescent="0.3">
      <c r="A1160" s="82" t="str">
        <f t="shared" si="36"/>
        <v>2016</v>
      </c>
      <c r="B1160" s="72" t="s">
        <v>131</v>
      </c>
      <c r="C1160" s="73" t="s">
        <v>132</v>
      </c>
      <c r="D1160" s="74" t="str">
        <f t="shared" si="37"/>
        <v>mai/2016</v>
      </c>
      <c r="E1160" s="53">
        <v>42510</v>
      </c>
      <c r="F1160" s="75" t="s">
        <v>984</v>
      </c>
      <c r="G1160" s="72"/>
      <c r="H1160" s="49" t="s">
        <v>202</v>
      </c>
      <c r="I1160" s="49" t="s">
        <v>191</v>
      </c>
      <c r="J1160" s="76">
        <v>-10000</v>
      </c>
      <c r="K1160" s="83" t="str">
        <f>IFERROR(IFERROR(VLOOKUP(I1160,'DE-PARA'!B:D,3,0),VLOOKUP(I1160,'DE-PARA'!C:D,2,0)),"NÃO ENCONTRADO")</f>
        <v>Serviços</v>
      </c>
      <c r="L1160" s="50" t="str">
        <f>VLOOKUP(K1160,'Base -Receita-Despesa'!$B:$P,1,FALSE)</f>
        <v>Serviços</v>
      </c>
    </row>
    <row r="1161" spans="1:12" ht="15" customHeight="1" x14ac:dyDescent="0.3">
      <c r="A1161" s="82" t="str">
        <f t="shared" si="36"/>
        <v>2016</v>
      </c>
      <c r="B1161" s="72" t="s">
        <v>131</v>
      </c>
      <c r="C1161" s="73" t="s">
        <v>132</v>
      </c>
      <c r="D1161" s="74" t="str">
        <f t="shared" si="37"/>
        <v>mai/2016</v>
      </c>
      <c r="E1161" s="53">
        <v>42510</v>
      </c>
      <c r="F1161" s="75" t="s">
        <v>122</v>
      </c>
      <c r="G1161" s="72"/>
      <c r="H1161" s="49" t="s">
        <v>854</v>
      </c>
      <c r="I1161" s="49" t="s">
        <v>122</v>
      </c>
      <c r="J1161" s="76">
        <v>-930.61</v>
      </c>
      <c r="K1161" s="83" t="str">
        <f>IFERROR(IFERROR(VLOOKUP(I1161,'DE-PARA'!B:D,3,0),VLOOKUP(I1161,'DE-PARA'!C:D,2,0)),"NÃO ENCONTRADO")</f>
        <v>Encargos sobre Folha de Pagamento</v>
      </c>
      <c r="L1161" s="50" t="str">
        <f>VLOOKUP(K1161,'Base -Receita-Despesa'!$B:$P,1,FALSE)</f>
        <v>Encargos sobre Folha de Pagamento</v>
      </c>
    </row>
    <row r="1162" spans="1:12" ht="15" customHeight="1" x14ac:dyDescent="0.3">
      <c r="A1162" s="82" t="str">
        <f t="shared" si="36"/>
        <v>2016</v>
      </c>
      <c r="B1162" s="72" t="s">
        <v>131</v>
      </c>
      <c r="C1162" s="73" t="s">
        <v>132</v>
      </c>
      <c r="D1162" s="74" t="str">
        <f t="shared" si="37"/>
        <v>mai/2016</v>
      </c>
      <c r="E1162" s="53">
        <v>42510</v>
      </c>
      <c r="F1162" s="75" t="s">
        <v>985</v>
      </c>
      <c r="G1162" s="72"/>
      <c r="H1162" s="49" t="s">
        <v>165</v>
      </c>
      <c r="I1162" s="49" t="s">
        <v>113</v>
      </c>
      <c r="J1162" s="76">
        <v>-78950.61</v>
      </c>
      <c r="K1162" s="83" t="str">
        <f>IFERROR(IFERROR(VLOOKUP(I1162,'DE-PARA'!B:D,3,0),VLOOKUP(I1162,'DE-PARA'!C:D,2,0)),"NÃO ENCONTRADO")</f>
        <v>Serviços</v>
      </c>
      <c r="L1162" s="50" t="str">
        <f>VLOOKUP(K1162,'Base -Receita-Despesa'!$B:$P,1,FALSE)</f>
        <v>Serviços</v>
      </c>
    </row>
    <row r="1163" spans="1:12" ht="15" customHeight="1" x14ac:dyDescent="0.3">
      <c r="A1163" s="82" t="str">
        <f t="shared" si="36"/>
        <v>2016</v>
      </c>
      <c r="B1163" s="72" t="s">
        <v>131</v>
      </c>
      <c r="C1163" s="73" t="s">
        <v>132</v>
      </c>
      <c r="D1163" s="74" t="str">
        <f t="shared" si="37"/>
        <v>mai/2016</v>
      </c>
      <c r="E1163" s="53">
        <v>42510</v>
      </c>
      <c r="F1163" s="75" t="s">
        <v>184</v>
      </c>
      <c r="G1163" s="72"/>
      <c r="H1163" s="49" t="s">
        <v>986</v>
      </c>
      <c r="I1163" s="49" t="s">
        <v>186</v>
      </c>
      <c r="J1163" s="76">
        <v>-144749.32</v>
      </c>
      <c r="K1163" s="83" t="str">
        <f>IFERROR(IFERROR(VLOOKUP(I1163,'DE-PARA'!B:D,3,0),VLOOKUP(I1163,'DE-PARA'!C:D,2,0)),"NÃO ENCONTRADO")</f>
        <v>Encargos sobre Folha de Pagamento</v>
      </c>
      <c r="L1163" s="50" t="str">
        <f>VLOOKUP(K1163,'Base -Receita-Despesa'!$B:$P,1,FALSE)</f>
        <v>Encargos sobre Folha de Pagamento</v>
      </c>
    </row>
    <row r="1164" spans="1:12" ht="15" customHeight="1" x14ac:dyDescent="0.3">
      <c r="A1164" s="82" t="str">
        <f t="shared" si="36"/>
        <v>2016</v>
      </c>
      <c r="B1164" s="72" t="s">
        <v>131</v>
      </c>
      <c r="C1164" s="73" t="s">
        <v>132</v>
      </c>
      <c r="D1164" s="74" t="str">
        <f t="shared" si="37"/>
        <v>mai/2016</v>
      </c>
      <c r="E1164" s="53">
        <v>42510</v>
      </c>
      <c r="F1164" s="75" t="s">
        <v>283</v>
      </c>
      <c r="G1164" s="72"/>
      <c r="H1164" s="49" t="s">
        <v>987</v>
      </c>
      <c r="I1164" s="49" t="s">
        <v>185</v>
      </c>
      <c r="J1164" s="76">
        <v>-39315.69</v>
      </c>
      <c r="K1164" s="83" t="str">
        <f>IFERROR(IFERROR(VLOOKUP(I1164,'DE-PARA'!B:D,3,0),VLOOKUP(I1164,'DE-PARA'!C:D,2,0)),"NÃO ENCONTRADO")</f>
        <v>Encargos sobre Folha de Pagamento</v>
      </c>
      <c r="L1164" s="50" t="str">
        <f>VLOOKUP(K1164,'Base -Receita-Despesa'!$B:$P,1,FALSE)</f>
        <v>Encargos sobre Folha de Pagamento</v>
      </c>
    </row>
    <row r="1165" spans="1:12" ht="15" customHeight="1" x14ac:dyDescent="0.3">
      <c r="A1165" s="82" t="str">
        <f t="shared" si="36"/>
        <v>2016</v>
      </c>
      <c r="B1165" s="72" t="s">
        <v>131</v>
      </c>
      <c r="C1165" s="73" t="s">
        <v>132</v>
      </c>
      <c r="D1165" s="74" t="str">
        <f t="shared" si="37"/>
        <v>mai/2016</v>
      </c>
      <c r="E1165" s="53">
        <v>42510</v>
      </c>
      <c r="F1165" s="75" t="s">
        <v>283</v>
      </c>
      <c r="G1165" s="72"/>
      <c r="H1165" s="49" t="s">
        <v>988</v>
      </c>
      <c r="I1165" s="49" t="s">
        <v>185</v>
      </c>
      <c r="J1165" s="76">
        <v>-2603.66</v>
      </c>
      <c r="K1165" s="83" t="str">
        <f>IFERROR(IFERROR(VLOOKUP(I1165,'DE-PARA'!B:D,3,0),VLOOKUP(I1165,'DE-PARA'!C:D,2,0)),"NÃO ENCONTRADO")</f>
        <v>Encargos sobre Folha de Pagamento</v>
      </c>
      <c r="L1165" s="50" t="str">
        <f>VLOOKUP(K1165,'Base -Receita-Despesa'!$B:$P,1,FALSE)</f>
        <v>Encargos sobre Folha de Pagamento</v>
      </c>
    </row>
    <row r="1166" spans="1:12" ht="15" customHeight="1" x14ac:dyDescent="0.3">
      <c r="A1166" s="82" t="str">
        <f t="shared" si="36"/>
        <v>2016</v>
      </c>
      <c r="B1166" s="72" t="s">
        <v>131</v>
      </c>
      <c r="C1166" s="73" t="s">
        <v>132</v>
      </c>
      <c r="D1166" s="74" t="str">
        <f t="shared" si="37"/>
        <v>mai/2016</v>
      </c>
      <c r="E1166" s="53">
        <v>42510</v>
      </c>
      <c r="F1166" s="75" t="s">
        <v>199</v>
      </c>
      <c r="G1166" s="72"/>
      <c r="H1166" s="49" t="s">
        <v>523</v>
      </c>
      <c r="I1166" s="49" t="s">
        <v>192</v>
      </c>
      <c r="J1166" s="76">
        <v>-120</v>
      </c>
      <c r="K1166" s="83" t="str">
        <f>IFERROR(IFERROR(VLOOKUP(I1166,'DE-PARA'!B:D,3,0),VLOOKUP(I1166,'DE-PARA'!C:D,2,0)),"NÃO ENCONTRADO")</f>
        <v>Materiais</v>
      </c>
      <c r="L1166" s="50" t="str">
        <f>VLOOKUP(K1166,'Base -Receita-Despesa'!$B:$P,1,FALSE)</f>
        <v>Materiais</v>
      </c>
    </row>
    <row r="1167" spans="1:12" ht="15" customHeight="1" x14ac:dyDescent="0.3">
      <c r="A1167" s="82" t="str">
        <f t="shared" si="36"/>
        <v>2016</v>
      </c>
      <c r="B1167" s="72" t="s">
        <v>131</v>
      </c>
      <c r="C1167" s="73" t="s">
        <v>132</v>
      </c>
      <c r="D1167" s="74" t="str">
        <f t="shared" si="37"/>
        <v>mai/2016</v>
      </c>
      <c r="E1167" s="53">
        <v>42510</v>
      </c>
      <c r="F1167" s="75" t="s">
        <v>293</v>
      </c>
      <c r="G1167" s="72"/>
      <c r="H1167" s="49" t="s">
        <v>989</v>
      </c>
      <c r="I1167" s="49" t="s">
        <v>185</v>
      </c>
      <c r="J1167" s="76">
        <v>-4321.6400000000003</v>
      </c>
      <c r="K1167" s="83" t="str">
        <f>IFERROR(IFERROR(VLOOKUP(I1167,'DE-PARA'!B:D,3,0),VLOOKUP(I1167,'DE-PARA'!C:D,2,0)),"NÃO ENCONTRADO")</f>
        <v>Encargos sobre Folha de Pagamento</v>
      </c>
      <c r="L1167" s="50" t="str">
        <f>VLOOKUP(K1167,'Base -Receita-Despesa'!$B:$P,1,FALSE)</f>
        <v>Encargos sobre Folha de Pagamento</v>
      </c>
    </row>
    <row r="1168" spans="1:12" ht="15" customHeight="1" x14ac:dyDescent="0.3">
      <c r="A1168" s="82" t="str">
        <f t="shared" si="36"/>
        <v>2016</v>
      </c>
      <c r="B1168" s="72" t="s">
        <v>131</v>
      </c>
      <c r="C1168" s="73" t="s">
        <v>132</v>
      </c>
      <c r="D1168" s="74" t="str">
        <f t="shared" si="37"/>
        <v>mai/2016</v>
      </c>
      <c r="E1168" s="53">
        <v>42510</v>
      </c>
      <c r="F1168" s="75" t="s">
        <v>990</v>
      </c>
      <c r="G1168" s="72"/>
      <c r="H1168" s="49" t="s">
        <v>213</v>
      </c>
      <c r="I1168" s="49" t="s">
        <v>159</v>
      </c>
      <c r="J1168" s="76">
        <v>-4467.0600000000004</v>
      </c>
      <c r="K1168" s="83" t="str">
        <f>IFERROR(IFERROR(VLOOKUP(I1168,'DE-PARA'!B:D,3,0),VLOOKUP(I1168,'DE-PARA'!C:D,2,0)),"NÃO ENCONTRADO")</f>
        <v>Materiais</v>
      </c>
      <c r="L1168" s="50" t="str">
        <f>VLOOKUP(K1168,'Base -Receita-Despesa'!$B:$P,1,FALSE)</f>
        <v>Materiais</v>
      </c>
    </row>
    <row r="1169" spans="1:12" ht="15" customHeight="1" x14ac:dyDescent="0.3">
      <c r="A1169" s="82" t="str">
        <f t="shared" si="36"/>
        <v>2016</v>
      </c>
      <c r="B1169" s="72" t="s">
        <v>131</v>
      </c>
      <c r="C1169" s="73" t="s">
        <v>132</v>
      </c>
      <c r="D1169" s="74" t="str">
        <f t="shared" si="37"/>
        <v>mai/2016</v>
      </c>
      <c r="E1169" s="53">
        <v>42510</v>
      </c>
      <c r="F1169" s="75" t="s">
        <v>991</v>
      </c>
      <c r="G1169" s="72"/>
      <c r="H1169" s="49" t="s">
        <v>213</v>
      </c>
      <c r="I1169" s="49" t="s">
        <v>159</v>
      </c>
      <c r="J1169" s="76">
        <v>-2003.14</v>
      </c>
      <c r="K1169" s="83" t="str">
        <f>IFERROR(IFERROR(VLOOKUP(I1169,'DE-PARA'!B:D,3,0),VLOOKUP(I1169,'DE-PARA'!C:D,2,0)),"NÃO ENCONTRADO")</f>
        <v>Materiais</v>
      </c>
      <c r="L1169" s="50" t="str">
        <f>VLOOKUP(K1169,'Base -Receita-Despesa'!$B:$P,1,FALSE)</f>
        <v>Materiais</v>
      </c>
    </row>
    <row r="1170" spans="1:12" ht="15" customHeight="1" x14ac:dyDescent="0.3">
      <c r="A1170" s="82" t="str">
        <f t="shared" si="36"/>
        <v>2016</v>
      </c>
      <c r="B1170" s="72" t="s">
        <v>131</v>
      </c>
      <c r="C1170" s="73" t="s">
        <v>132</v>
      </c>
      <c r="D1170" s="74" t="str">
        <f t="shared" si="37"/>
        <v>mai/2016</v>
      </c>
      <c r="E1170" s="53">
        <v>42510</v>
      </c>
      <c r="F1170" s="75" t="s">
        <v>992</v>
      </c>
      <c r="G1170" s="72"/>
      <c r="H1170" s="49" t="s">
        <v>993</v>
      </c>
      <c r="I1170" s="49" t="s">
        <v>127</v>
      </c>
      <c r="J1170" s="76">
        <v>-4564.63</v>
      </c>
      <c r="K1170" s="83" t="str">
        <f>IFERROR(IFERROR(VLOOKUP(I1170,'DE-PARA'!B:D,3,0),VLOOKUP(I1170,'DE-PARA'!C:D,2,0)),"NÃO ENCONTRADO")</f>
        <v>Pessoal</v>
      </c>
      <c r="L1170" s="50" t="str">
        <f>VLOOKUP(K1170,'Base -Receita-Despesa'!$B:$P,1,FALSE)</f>
        <v>Pessoal</v>
      </c>
    </row>
    <row r="1171" spans="1:12" ht="15" customHeight="1" x14ac:dyDescent="0.3">
      <c r="A1171" s="82" t="str">
        <f t="shared" si="36"/>
        <v>2016</v>
      </c>
      <c r="B1171" s="72" t="s">
        <v>131</v>
      </c>
      <c r="C1171" s="73" t="s">
        <v>132</v>
      </c>
      <c r="D1171" s="74" t="str">
        <f t="shared" si="37"/>
        <v>mai/2016</v>
      </c>
      <c r="E1171" s="53">
        <v>42510</v>
      </c>
      <c r="F1171" s="75" t="s">
        <v>994</v>
      </c>
      <c r="G1171" s="72"/>
      <c r="H1171" s="49" t="s">
        <v>172</v>
      </c>
      <c r="I1171" s="49" t="s">
        <v>173</v>
      </c>
      <c r="J1171" s="76">
        <v>-12956.27</v>
      </c>
      <c r="K1171" s="83" t="str">
        <f>IFERROR(IFERROR(VLOOKUP(I1171,'DE-PARA'!B:D,3,0),VLOOKUP(I1171,'DE-PARA'!C:D,2,0)),"NÃO ENCONTRADO")</f>
        <v>Serviços</v>
      </c>
      <c r="L1171" s="50" t="str">
        <f>VLOOKUP(K1171,'Base -Receita-Despesa'!$B:$P,1,FALSE)</f>
        <v>Serviços</v>
      </c>
    </row>
    <row r="1172" spans="1:12" ht="15" customHeight="1" x14ac:dyDescent="0.3">
      <c r="A1172" s="82" t="str">
        <f t="shared" si="36"/>
        <v>2016</v>
      </c>
      <c r="B1172" s="72" t="s">
        <v>131</v>
      </c>
      <c r="C1172" s="73" t="s">
        <v>132</v>
      </c>
      <c r="D1172" s="74" t="str">
        <f t="shared" si="37"/>
        <v>mai/2016</v>
      </c>
      <c r="E1172" s="53">
        <v>42510</v>
      </c>
      <c r="F1172" s="75" t="s">
        <v>995</v>
      </c>
      <c r="G1172" s="72"/>
      <c r="H1172" s="49" t="s">
        <v>172</v>
      </c>
      <c r="I1172" s="49" t="s">
        <v>173</v>
      </c>
      <c r="J1172" s="76">
        <v>-15311.91</v>
      </c>
      <c r="K1172" s="83" t="str">
        <f>IFERROR(IFERROR(VLOOKUP(I1172,'DE-PARA'!B:D,3,0),VLOOKUP(I1172,'DE-PARA'!C:D,2,0)),"NÃO ENCONTRADO")</f>
        <v>Serviços</v>
      </c>
      <c r="L1172" s="50" t="str">
        <f>VLOOKUP(K1172,'Base -Receita-Despesa'!$B:$P,1,FALSE)</f>
        <v>Serviços</v>
      </c>
    </row>
    <row r="1173" spans="1:12" ht="15" customHeight="1" x14ac:dyDescent="0.3">
      <c r="A1173" s="82" t="str">
        <f t="shared" si="36"/>
        <v>2016</v>
      </c>
      <c r="B1173" s="72" t="s">
        <v>131</v>
      </c>
      <c r="C1173" s="73" t="s">
        <v>132</v>
      </c>
      <c r="D1173" s="74" t="str">
        <f t="shared" si="37"/>
        <v>mai/2016</v>
      </c>
      <c r="E1173" s="53">
        <v>42510</v>
      </c>
      <c r="F1173" s="75" t="s">
        <v>996</v>
      </c>
      <c r="G1173" s="72"/>
      <c r="H1173" s="49" t="s">
        <v>997</v>
      </c>
      <c r="I1173" s="49" t="s">
        <v>167</v>
      </c>
      <c r="J1173" s="76">
        <v>-439.5</v>
      </c>
      <c r="K1173" s="83" t="str">
        <f>IFERROR(IFERROR(VLOOKUP(I1173,'DE-PARA'!B:D,3,0),VLOOKUP(I1173,'DE-PARA'!C:D,2,0)),"NÃO ENCONTRADO")</f>
        <v>Materiais</v>
      </c>
      <c r="L1173" s="50" t="str">
        <f>VLOOKUP(K1173,'Base -Receita-Despesa'!$B:$P,1,FALSE)</f>
        <v>Materiais</v>
      </c>
    </row>
    <row r="1174" spans="1:12" ht="15" customHeight="1" x14ac:dyDescent="0.3">
      <c r="A1174" s="82" t="str">
        <f t="shared" si="36"/>
        <v>2016</v>
      </c>
      <c r="B1174" s="72" t="s">
        <v>131</v>
      </c>
      <c r="C1174" s="73" t="s">
        <v>132</v>
      </c>
      <c r="D1174" s="74" t="str">
        <f t="shared" si="37"/>
        <v>mai/2016</v>
      </c>
      <c r="E1174" s="53">
        <v>42510</v>
      </c>
      <c r="F1174" s="75" t="s">
        <v>998</v>
      </c>
      <c r="G1174" s="72"/>
      <c r="H1174" s="49" t="s">
        <v>190</v>
      </c>
      <c r="I1174" s="49" t="s">
        <v>191</v>
      </c>
      <c r="J1174" s="76">
        <v>-3190.9</v>
      </c>
      <c r="K1174" s="83" t="str">
        <f>IFERROR(IFERROR(VLOOKUP(I1174,'DE-PARA'!B:D,3,0),VLOOKUP(I1174,'DE-PARA'!C:D,2,0)),"NÃO ENCONTRADO")</f>
        <v>Serviços</v>
      </c>
      <c r="L1174" s="50" t="str">
        <f>VLOOKUP(K1174,'Base -Receita-Despesa'!$B:$P,1,FALSE)</f>
        <v>Serviços</v>
      </c>
    </row>
    <row r="1175" spans="1:12" ht="15" customHeight="1" x14ac:dyDescent="0.3">
      <c r="A1175" s="82" t="str">
        <f t="shared" si="36"/>
        <v>2016</v>
      </c>
      <c r="B1175" s="72" t="s">
        <v>131</v>
      </c>
      <c r="C1175" s="73" t="s">
        <v>132</v>
      </c>
      <c r="D1175" s="74" t="str">
        <f t="shared" si="37"/>
        <v>mai/2016</v>
      </c>
      <c r="E1175" s="53">
        <v>42513</v>
      </c>
      <c r="F1175" s="75" t="s">
        <v>999</v>
      </c>
      <c r="G1175" s="72"/>
      <c r="H1175" s="49" t="s">
        <v>517</v>
      </c>
      <c r="I1175" s="49" t="s">
        <v>159</v>
      </c>
      <c r="J1175" s="76">
        <v>-1701.4</v>
      </c>
      <c r="K1175" s="83" t="str">
        <f>IFERROR(IFERROR(VLOOKUP(I1175,'DE-PARA'!B:D,3,0),VLOOKUP(I1175,'DE-PARA'!C:D,2,0)),"NÃO ENCONTRADO")</f>
        <v>Materiais</v>
      </c>
      <c r="L1175" s="50" t="str">
        <f>VLOOKUP(K1175,'Base -Receita-Despesa'!$B:$P,1,FALSE)</f>
        <v>Materiais</v>
      </c>
    </row>
    <row r="1176" spans="1:12" ht="15" customHeight="1" x14ac:dyDescent="0.3">
      <c r="A1176" s="82" t="str">
        <f t="shared" si="36"/>
        <v>2016</v>
      </c>
      <c r="B1176" s="72" t="s">
        <v>131</v>
      </c>
      <c r="C1176" s="73" t="s">
        <v>132</v>
      </c>
      <c r="D1176" s="74" t="str">
        <f t="shared" si="37"/>
        <v>mai/2016</v>
      </c>
      <c r="E1176" s="53">
        <v>42513</v>
      </c>
      <c r="F1176" s="75" t="s">
        <v>981</v>
      </c>
      <c r="G1176" s="72"/>
      <c r="H1176" s="49" t="s">
        <v>1000</v>
      </c>
      <c r="I1176" s="49" t="s">
        <v>529</v>
      </c>
      <c r="J1176" s="76">
        <v>14.56</v>
      </c>
      <c r="K1176" s="83" t="str">
        <f>IFERROR(IFERROR(VLOOKUP(I1176,'DE-PARA'!B:D,3,0),VLOOKUP(I1176,'DE-PARA'!C:D,2,0)),"NÃO ENCONTRADO")</f>
        <v>Tributos, Taxas e Contribuições</v>
      </c>
      <c r="L1176" s="50" t="str">
        <f>VLOOKUP(K1176,'Base -Receita-Despesa'!$B:$P,1,FALSE)</f>
        <v>Tributos, Taxas e Contribuições</v>
      </c>
    </row>
    <row r="1177" spans="1:12" ht="15" customHeight="1" x14ac:dyDescent="0.3">
      <c r="A1177" s="82" t="str">
        <f t="shared" si="36"/>
        <v>2016</v>
      </c>
      <c r="B1177" s="72" t="s">
        <v>131</v>
      </c>
      <c r="C1177" s="73" t="s">
        <v>132</v>
      </c>
      <c r="D1177" s="74" t="str">
        <f t="shared" si="37"/>
        <v>mai/2016</v>
      </c>
      <c r="E1177" s="53">
        <v>42513</v>
      </c>
      <c r="F1177" s="75" t="s">
        <v>980</v>
      </c>
      <c r="G1177" s="72"/>
      <c r="H1177" s="49" t="s">
        <v>198</v>
      </c>
      <c r="I1177" s="49" t="s">
        <v>603</v>
      </c>
      <c r="J1177" s="76">
        <v>-37122.78</v>
      </c>
      <c r="K1177" s="83" t="str">
        <f>IFERROR(IFERROR(VLOOKUP(I1177,'DE-PARA'!B:D,3,0),VLOOKUP(I1177,'DE-PARA'!C:D,2,0)),"NÃO ENCONTRADO")</f>
        <v>Serviços</v>
      </c>
      <c r="L1177" s="50" t="str">
        <f>VLOOKUP(K1177,'Base -Receita-Despesa'!$B:$P,1,FALSE)</f>
        <v>Serviços</v>
      </c>
    </row>
    <row r="1178" spans="1:12" ht="15" customHeight="1" x14ac:dyDescent="0.3">
      <c r="A1178" s="82" t="str">
        <f t="shared" si="36"/>
        <v>2016</v>
      </c>
      <c r="B1178" s="72" t="s">
        <v>131</v>
      </c>
      <c r="C1178" s="73" t="s">
        <v>132</v>
      </c>
      <c r="D1178" s="74" t="str">
        <f t="shared" si="37"/>
        <v>mai/2016</v>
      </c>
      <c r="E1178" s="53">
        <v>42513</v>
      </c>
      <c r="F1178" s="75" t="s">
        <v>840</v>
      </c>
      <c r="G1178" s="72"/>
      <c r="H1178" s="49" t="s">
        <v>863</v>
      </c>
      <c r="I1178" s="49" t="s">
        <v>129</v>
      </c>
      <c r="J1178" s="76">
        <v>-7.85</v>
      </c>
      <c r="K1178" s="83" t="str">
        <f>IFERROR(IFERROR(VLOOKUP(I1178,'DE-PARA'!B:D,3,0),VLOOKUP(I1178,'DE-PARA'!C:D,2,0)),"NÃO ENCONTRADO")</f>
        <v>Outras Saídas</v>
      </c>
      <c r="L1178" s="50" t="str">
        <f>VLOOKUP(K1178,'Base -Receita-Despesa'!$B:$P,1,FALSE)</f>
        <v>Outras Saídas</v>
      </c>
    </row>
    <row r="1179" spans="1:12" ht="15" customHeight="1" x14ac:dyDescent="0.3">
      <c r="A1179" s="82" t="str">
        <f t="shared" si="36"/>
        <v>2016</v>
      </c>
      <c r="B1179" s="72" t="s">
        <v>131</v>
      </c>
      <c r="C1179" s="73" t="s">
        <v>132</v>
      </c>
      <c r="D1179" s="74" t="str">
        <f t="shared" si="37"/>
        <v>mai/2016</v>
      </c>
      <c r="E1179" s="53">
        <v>42513</v>
      </c>
      <c r="F1179" s="75" t="s">
        <v>840</v>
      </c>
      <c r="G1179" s="72"/>
      <c r="H1179" s="49" t="s">
        <v>863</v>
      </c>
      <c r="I1179" s="49" t="s">
        <v>129</v>
      </c>
      <c r="J1179" s="76">
        <v>-7.85</v>
      </c>
      <c r="K1179" s="83" t="str">
        <f>IFERROR(IFERROR(VLOOKUP(I1179,'DE-PARA'!B:D,3,0),VLOOKUP(I1179,'DE-PARA'!C:D,2,0)),"NÃO ENCONTRADO")</f>
        <v>Outras Saídas</v>
      </c>
      <c r="L1179" s="50" t="str">
        <f>VLOOKUP(K1179,'Base -Receita-Despesa'!$B:$P,1,FALSE)</f>
        <v>Outras Saídas</v>
      </c>
    </row>
    <row r="1180" spans="1:12" ht="15" customHeight="1" x14ac:dyDescent="0.3">
      <c r="A1180" s="82" t="str">
        <f t="shared" si="36"/>
        <v>2016</v>
      </c>
      <c r="B1180" s="72" t="s">
        <v>131</v>
      </c>
      <c r="C1180" s="73" t="s">
        <v>132</v>
      </c>
      <c r="D1180" s="74" t="str">
        <f t="shared" si="37"/>
        <v>mai/2016</v>
      </c>
      <c r="E1180" s="53">
        <v>42513</v>
      </c>
      <c r="F1180" s="75" t="s">
        <v>840</v>
      </c>
      <c r="G1180" s="72"/>
      <c r="H1180" s="49" t="s">
        <v>1001</v>
      </c>
      <c r="I1180" s="49" t="s">
        <v>129</v>
      </c>
      <c r="J1180" s="76">
        <v>7.85</v>
      </c>
      <c r="K1180" s="83" t="str">
        <f>IFERROR(IFERROR(VLOOKUP(I1180,'DE-PARA'!B:D,3,0),VLOOKUP(I1180,'DE-PARA'!C:D,2,0)),"NÃO ENCONTRADO")</f>
        <v>Outras Saídas</v>
      </c>
      <c r="L1180" s="50" t="str">
        <f>VLOOKUP(K1180,'Base -Receita-Despesa'!$B:$P,1,FALSE)</f>
        <v>Outras Saídas</v>
      </c>
    </row>
    <row r="1181" spans="1:12" ht="15" customHeight="1" x14ac:dyDescent="0.3">
      <c r="A1181" s="82" t="str">
        <f t="shared" si="36"/>
        <v>2016</v>
      </c>
      <c r="B1181" s="72" t="s">
        <v>131</v>
      </c>
      <c r="C1181" s="73" t="s">
        <v>132</v>
      </c>
      <c r="D1181" s="74" t="str">
        <f t="shared" si="37"/>
        <v>mai/2016</v>
      </c>
      <c r="E1181" s="53">
        <v>42513</v>
      </c>
      <c r="F1181" s="75" t="s">
        <v>137</v>
      </c>
      <c r="G1181" s="72"/>
      <c r="H1181" s="49" t="s">
        <v>202</v>
      </c>
      <c r="I1181" s="49" t="s">
        <v>191</v>
      </c>
      <c r="J1181" s="76">
        <v>10000</v>
      </c>
      <c r="K1181" s="83" t="str">
        <f>IFERROR(IFERROR(VLOOKUP(I1181,'DE-PARA'!B:D,3,0),VLOOKUP(I1181,'DE-PARA'!C:D,2,0)),"NÃO ENCONTRADO")</f>
        <v>Serviços</v>
      </c>
      <c r="L1181" s="50" t="str">
        <f>VLOOKUP(K1181,'Base -Receita-Despesa'!$B:$P,1,FALSE)</f>
        <v>Serviços</v>
      </c>
    </row>
    <row r="1182" spans="1:12" ht="15" customHeight="1" x14ac:dyDescent="0.3">
      <c r="A1182" s="82" t="str">
        <f t="shared" si="36"/>
        <v>2016</v>
      </c>
      <c r="B1182" s="72" t="s">
        <v>131</v>
      </c>
      <c r="C1182" s="73" t="s">
        <v>132</v>
      </c>
      <c r="D1182" s="74" t="str">
        <f t="shared" si="37"/>
        <v>mai/2016</v>
      </c>
      <c r="E1182" s="53">
        <v>42513</v>
      </c>
      <c r="F1182" s="75" t="s">
        <v>984</v>
      </c>
      <c r="G1182" s="72"/>
      <c r="H1182" s="49" t="s">
        <v>202</v>
      </c>
      <c r="I1182" s="49" t="s">
        <v>191</v>
      </c>
      <c r="J1182" s="76">
        <v>-10000</v>
      </c>
      <c r="K1182" s="83" t="str">
        <f>IFERROR(IFERROR(VLOOKUP(I1182,'DE-PARA'!B:D,3,0),VLOOKUP(I1182,'DE-PARA'!C:D,2,0)),"NÃO ENCONTRADO")</f>
        <v>Serviços</v>
      </c>
      <c r="L1182" s="50" t="str">
        <f>VLOOKUP(K1182,'Base -Receita-Despesa'!$B:$P,1,FALSE)</f>
        <v>Serviços</v>
      </c>
    </row>
    <row r="1183" spans="1:12" ht="15" customHeight="1" x14ac:dyDescent="0.3">
      <c r="A1183" s="82" t="str">
        <f t="shared" si="36"/>
        <v>2016</v>
      </c>
      <c r="B1183" s="72" t="s">
        <v>131</v>
      </c>
      <c r="C1183" s="73" t="s">
        <v>132</v>
      </c>
      <c r="D1183" s="74" t="str">
        <f t="shared" si="37"/>
        <v>mai/2016</v>
      </c>
      <c r="E1183" s="53">
        <v>42513</v>
      </c>
      <c r="F1183" s="75" t="s">
        <v>981</v>
      </c>
      <c r="G1183" s="72"/>
      <c r="H1183" s="49" t="s">
        <v>1002</v>
      </c>
      <c r="I1183" s="49" t="s">
        <v>135</v>
      </c>
      <c r="J1183" s="76">
        <v>839.28</v>
      </c>
      <c r="K1183" s="83" t="str">
        <f>IFERROR(IFERROR(VLOOKUP(I1183,'DE-PARA'!B:D,3,0),VLOOKUP(I1183,'DE-PARA'!C:D,2,0)),"NÃO ENCONTRADO")</f>
        <v>Pessoal</v>
      </c>
      <c r="L1183" s="50" t="str">
        <f>VLOOKUP(K1183,'Base -Receita-Despesa'!$B:$P,1,FALSE)</f>
        <v>Pessoal</v>
      </c>
    </row>
    <row r="1184" spans="1:12" ht="15" customHeight="1" x14ac:dyDescent="0.3">
      <c r="A1184" s="82" t="str">
        <f t="shared" si="36"/>
        <v>2016</v>
      </c>
      <c r="B1184" s="72" t="s">
        <v>131</v>
      </c>
      <c r="C1184" s="73" t="s">
        <v>132</v>
      </c>
      <c r="D1184" s="74" t="str">
        <f t="shared" si="37"/>
        <v>mai/2016</v>
      </c>
      <c r="E1184" s="53">
        <v>42513</v>
      </c>
      <c r="F1184" s="75" t="s">
        <v>1003</v>
      </c>
      <c r="G1184" s="72"/>
      <c r="H1184" s="49" t="s">
        <v>229</v>
      </c>
      <c r="I1184" s="49" t="s">
        <v>159</v>
      </c>
      <c r="J1184" s="76">
        <v>-197.59</v>
      </c>
      <c r="K1184" s="83" t="str">
        <f>IFERROR(IFERROR(VLOOKUP(I1184,'DE-PARA'!B:D,3,0),VLOOKUP(I1184,'DE-PARA'!C:D,2,0)),"NÃO ENCONTRADO")</f>
        <v>Materiais</v>
      </c>
      <c r="L1184" s="50" t="str">
        <f>VLOOKUP(K1184,'Base -Receita-Despesa'!$B:$P,1,FALSE)</f>
        <v>Materiais</v>
      </c>
    </row>
    <row r="1185" spans="1:12" ht="15" customHeight="1" x14ac:dyDescent="0.3">
      <c r="A1185" s="82" t="str">
        <f t="shared" si="36"/>
        <v>2016</v>
      </c>
      <c r="B1185" s="72" t="s">
        <v>131</v>
      </c>
      <c r="C1185" s="73" t="s">
        <v>132</v>
      </c>
      <c r="D1185" s="74" t="str">
        <f t="shared" si="37"/>
        <v>mai/2016</v>
      </c>
      <c r="E1185" s="53">
        <v>42514</v>
      </c>
      <c r="F1185" s="75" t="s">
        <v>1004</v>
      </c>
      <c r="G1185" s="72"/>
      <c r="H1185" s="49" t="s">
        <v>588</v>
      </c>
      <c r="I1185" s="49" t="s">
        <v>159</v>
      </c>
      <c r="J1185" s="76">
        <v>-2327.2600000000002</v>
      </c>
      <c r="K1185" s="83" t="str">
        <f>IFERROR(IFERROR(VLOOKUP(I1185,'DE-PARA'!B:D,3,0),VLOOKUP(I1185,'DE-PARA'!C:D,2,0)),"NÃO ENCONTRADO")</f>
        <v>Materiais</v>
      </c>
      <c r="L1185" s="50" t="str">
        <f>VLOOKUP(K1185,'Base -Receita-Despesa'!$B:$P,1,FALSE)</f>
        <v>Materiais</v>
      </c>
    </row>
    <row r="1186" spans="1:12" ht="15" customHeight="1" x14ac:dyDescent="0.3">
      <c r="A1186" s="82" t="str">
        <f t="shared" si="36"/>
        <v>2016</v>
      </c>
      <c r="B1186" s="72" t="s">
        <v>131</v>
      </c>
      <c r="C1186" s="73" t="s">
        <v>132</v>
      </c>
      <c r="D1186" s="74" t="str">
        <f t="shared" si="37"/>
        <v>mai/2016</v>
      </c>
      <c r="E1186" s="53">
        <v>42514</v>
      </c>
      <c r="F1186" s="75" t="s">
        <v>869</v>
      </c>
      <c r="G1186" s="72"/>
      <c r="H1186" s="49" t="s">
        <v>588</v>
      </c>
      <c r="I1186" s="49" t="s">
        <v>159</v>
      </c>
      <c r="J1186" s="76">
        <v>-5490.92</v>
      </c>
      <c r="K1186" s="83" t="str">
        <f>IFERROR(IFERROR(VLOOKUP(I1186,'DE-PARA'!B:D,3,0),VLOOKUP(I1186,'DE-PARA'!C:D,2,0)),"NÃO ENCONTRADO")</f>
        <v>Materiais</v>
      </c>
      <c r="L1186" s="50" t="str">
        <f>VLOOKUP(K1186,'Base -Receita-Despesa'!$B:$P,1,FALSE)</f>
        <v>Materiais</v>
      </c>
    </row>
    <row r="1187" spans="1:12" ht="15" customHeight="1" x14ac:dyDescent="0.3">
      <c r="A1187" s="82" t="str">
        <f t="shared" si="36"/>
        <v>2016</v>
      </c>
      <c r="B1187" s="72" t="s">
        <v>131</v>
      </c>
      <c r="C1187" s="73" t="s">
        <v>132</v>
      </c>
      <c r="D1187" s="74" t="str">
        <f t="shared" si="37"/>
        <v>mai/2016</v>
      </c>
      <c r="E1187" s="53">
        <v>42514</v>
      </c>
      <c r="F1187" s="75" t="s">
        <v>1005</v>
      </c>
      <c r="G1187" s="72"/>
      <c r="H1187" s="49" t="s">
        <v>1006</v>
      </c>
      <c r="I1187" s="49" t="s">
        <v>159</v>
      </c>
      <c r="J1187" s="76">
        <v>-226</v>
      </c>
      <c r="K1187" s="83" t="str">
        <f>IFERROR(IFERROR(VLOOKUP(I1187,'DE-PARA'!B:D,3,0),VLOOKUP(I1187,'DE-PARA'!C:D,2,0)),"NÃO ENCONTRADO")</f>
        <v>Materiais</v>
      </c>
      <c r="L1187" s="50" t="str">
        <f>VLOOKUP(K1187,'Base -Receita-Despesa'!$B:$P,1,FALSE)</f>
        <v>Materiais</v>
      </c>
    </row>
    <row r="1188" spans="1:12" ht="15" customHeight="1" x14ac:dyDescent="0.3">
      <c r="A1188" s="82" t="str">
        <f t="shared" si="36"/>
        <v>2016</v>
      </c>
      <c r="B1188" s="72" t="s">
        <v>131</v>
      </c>
      <c r="C1188" s="73" t="s">
        <v>132</v>
      </c>
      <c r="D1188" s="74" t="str">
        <f t="shared" si="37"/>
        <v>mai/2016</v>
      </c>
      <c r="E1188" s="53">
        <v>42515</v>
      </c>
      <c r="F1188" s="75" t="s">
        <v>243</v>
      </c>
      <c r="G1188" s="72"/>
      <c r="H1188" s="49" t="s">
        <v>1007</v>
      </c>
      <c r="I1188" s="49" t="s">
        <v>124</v>
      </c>
      <c r="J1188" s="76">
        <v>-1925.1</v>
      </c>
      <c r="K1188" s="83" t="str">
        <f>IFERROR(IFERROR(VLOOKUP(I1188,'DE-PARA'!B:D,3,0),VLOOKUP(I1188,'DE-PARA'!C:D,2,0)),"NÃO ENCONTRADO")</f>
        <v>Rescisões Trabalhistas</v>
      </c>
      <c r="L1188" s="50" t="str">
        <f>VLOOKUP(K1188,'Base -Receita-Despesa'!$B:$P,1,FALSE)</f>
        <v>Rescisões Trabalhistas</v>
      </c>
    </row>
    <row r="1189" spans="1:12" ht="15" customHeight="1" x14ac:dyDescent="0.3">
      <c r="A1189" s="82" t="str">
        <f t="shared" si="36"/>
        <v>2016</v>
      </c>
      <c r="B1189" s="72" t="s">
        <v>131</v>
      </c>
      <c r="C1189" s="73" t="s">
        <v>132</v>
      </c>
      <c r="D1189" s="74" t="str">
        <f t="shared" si="37"/>
        <v>mai/2016</v>
      </c>
      <c r="E1189" s="53">
        <v>42515</v>
      </c>
      <c r="F1189" s="75" t="s">
        <v>1008</v>
      </c>
      <c r="G1189" s="72"/>
      <c r="H1189" s="49" t="s">
        <v>414</v>
      </c>
      <c r="I1189" s="49" t="s">
        <v>159</v>
      </c>
      <c r="J1189" s="76">
        <v>-523.25</v>
      </c>
      <c r="K1189" s="83" t="str">
        <f>IFERROR(IFERROR(VLOOKUP(I1189,'DE-PARA'!B:D,3,0),VLOOKUP(I1189,'DE-PARA'!C:D,2,0)),"NÃO ENCONTRADO")</f>
        <v>Materiais</v>
      </c>
      <c r="L1189" s="50" t="str">
        <f>VLOOKUP(K1189,'Base -Receita-Despesa'!$B:$P,1,FALSE)</f>
        <v>Materiais</v>
      </c>
    </row>
    <row r="1190" spans="1:12" ht="15" customHeight="1" x14ac:dyDescent="0.3">
      <c r="A1190" s="82" t="str">
        <f t="shared" si="36"/>
        <v>2016</v>
      </c>
      <c r="B1190" s="72" t="s">
        <v>131</v>
      </c>
      <c r="C1190" s="73" t="s">
        <v>132</v>
      </c>
      <c r="D1190" s="74" t="str">
        <f t="shared" si="37"/>
        <v>mai/2016</v>
      </c>
      <c r="E1190" s="53">
        <v>42515</v>
      </c>
      <c r="F1190" s="75" t="s">
        <v>840</v>
      </c>
      <c r="G1190" s="72"/>
      <c r="H1190" s="49" t="s">
        <v>236</v>
      </c>
      <c r="I1190" s="49" t="s">
        <v>129</v>
      </c>
      <c r="J1190" s="76">
        <v>-25.3</v>
      </c>
      <c r="K1190" s="83" t="str">
        <f>IFERROR(IFERROR(VLOOKUP(I1190,'DE-PARA'!B:D,3,0),VLOOKUP(I1190,'DE-PARA'!C:D,2,0)),"NÃO ENCONTRADO")</f>
        <v>Outras Saídas</v>
      </c>
      <c r="L1190" s="50" t="str">
        <f>VLOOKUP(K1190,'Base -Receita-Despesa'!$B:$P,1,FALSE)</f>
        <v>Outras Saídas</v>
      </c>
    </row>
    <row r="1191" spans="1:12" ht="15" customHeight="1" x14ac:dyDescent="0.3">
      <c r="A1191" s="82" t="str">
        <f t="shared" si="36"/>
        <v>2016</v>
      </c>
      <c r="B1191" s="72" t="s">
        <v>131</v>
      </c>
      <c r="C1191" s="73" t="s">
        <v>132</v>
      </c>
      <c r="D1191" s="74" t="str">
        <f t="shared" si="37"/>
        <v>mai/2016</v>
      </c>
      <c r="E1191" s="53">
        <v>42520</v>
      </c>
      <c r="F1191" s="75" t="s">
        <v>125</v>
      </c>
      <c r="G1191" s="72"/>
      <c r="H1191" s="49" t="s">
        <v>1009</v>
      </c>
      <c r="I1191" s="49" t="s">
        <v>127</v>
      </c>
      <c r="J1191" s="76">
        <v>-3340.96</v>
      </c>
      <c r="K1191" s="83" t="str">
        <f>IFERROR(IFERROR(VLOOKUP(I1191,'DE-PARA'!B:D,3,0),VLOOKUP(I1191,'DE-PARA'!C:D,2,0)),"NÃO ENCONTRADO")</f>
        <v>Pessoal</v>
      </c>
      <c r="L1191" s="50" t="str">
        <f>VLOOKUP(K1191,'Base -Receita-Despesa'!$B:$P,1,FALSE)</f>
        <v>Pessoal</v>
      </c>
    </row>
    <row r="1192" spans="1:12" ht="15" customHeight="1" x14ac:dyDescent="0.3">
      <c r="A1192" s="82" t="str">
        <f t="shared" si="36"/>
        <v>2016</v>
      </c>
      <c r="B1192" s="72" t="s">
        <v>131</v>
      </c>
      <c r="C1192" s="73" t="s">
        <v>132</v>
      </c>
      <c r="D1192" s="74" t="str">
        <f t="shared" si="37"/>
        <v>mai/2016</v>
      </c>
      <c r="E1192" s="53">
        <v>42520</v>
      </c>
      <c r="F1192" s="75" t="s">
        <v>154</v>
      </c>
      <c r="G1192" s="72"/>
      <c r="H1192" s="49" t="s">
        <v>552</v>
      </c>
      <c r="I1192" s="49" t="s">
        <v>1497</v>
      </c>
      <c r="J1192" s="76">
        <v>300000</v>
      </c>
      <c r="K1192" s="83" t="str">
        <f>IFERROR(IFERROR(VLOOKUP(I1192,'DE-PARA'!B:D,3,0),VLOOKUP(I1192,'DE-PARA'!C:D,2,0)),"NÃO ENCONTRADO")</f>
        <v>Repasses Contrato de Gestão</v>
      </c>
      <c r="L1192" s="50" t="str">
        <f>VLOOKUP(K1192,'Base -Receita-Despesa'!$B:$P,1,FALSE)</f>
        <v>Repasses Contrato de Gestão</v>
      </c>
    </row>
    <row r="1193" spans="1:12" ht="15" customHeight="1" x14ac:dyDescent="0.3">
      <c r="A1193" s="82" t="str">
        <f t="shared" si="36"/>
        <v>2016</v>
      </c>
      <c r="B1193" s="72" t="s">
        <v>131</v>
      </c>
      <c r="C1193" s="73" t="s">
        <v>132</v>
      </c>
      <c r="D1193" s="74" t="str">
        <f t="shared" si="37"/>
        <v>mai/2016</v>
      </c>
      <c r="E1193" s="53">
        <v>42520</v>
      </c>
      <c r="F1193" s="75" t="s">
        <v>155</v>
      </c>
      <c r="G1193" s="72"/>
      <c r="H1193" s="49" t="s">
        <v>452</v>
      </c>
      <c r="I1193" s="49" t="s">
        <v>157</v>
      </c>
      <c r="J1193" s="76">
        <v>-7478.49</v>
      </c>
      <c r="K1193" s="83" t="str">
        <f>IFERROR(IFERROR(VLOOKUP(I1193,'DE-PARA'!B:D,3,0),VLOOKUP(I1193,'DE-PARA'!C:D,2,0)),"NÃO ENCONTRADO")</f>
        <v>Concessionárias (água, luz e telefone)</v>
      </c>
      <c r="L1193" s="50" t="str">
        <f>VLOOKUP(K1193,'Base -Receita-Despesa'!$B:$P,1,FALSE)</f>
        <v>Concessionárias (água, luz e telefone)</v>
      </c>
    </row>
    <row r="1194" spans="1:12" ht="15" customHeight="1" x14ac:dyDescent="0.3">
      <c r="A1194" s="82" t="str">
        <f t="shared" si="36"/>
        <v>2016</v>
      </c>
      <c r="B1194" s="72" t="s">
        <v>131</v>
      </c>
      <c r="C1194" s="73" t="s">
        <v>132</v>
      </c>
      <c r="D1194" s="74" t="str">
        <f t="shared" si="37"/>
        <v>mai/2016</v>
      </c>
      <c r="E1194" s="53">
        <v>42520</v>
      </c>
      <c r="F1194" s="75" t="s">
        <v>840</v>
      </c>
      <c r="G1194" s="72"/>
      <c r="H1194" s="49" t="s">
        <v>863</v>
      </c>
      <c r="I1194" s="49" t="s">
        <v>129</v>
      </c>
      <c r="J1194" s="76">
        <v>-7.85</v>
      </c>
      <c r="K1194" s="83" t="str">
        <f>IFERROR(IFERROR(VLOOKUP(I1194,'DE-PARA'!B:D,3,0),VLOOKUP(I1194,'DE-PARA'!C:D,2,0)),"NÃO ENCONTRADO")</f>
        <v>Outras Saídas</v>
      </c>
      <c r="L1194" s="50" t="str">
        <f>VLOOKUP(K1194,'Base -Receita-Despesa'!$B:$P,1,FALSE)</f>
        <v>Outras Saídas</v>
      </c>
    </row>
    <row r="1195" spans="1:12" ht="15" customHeight="1" x14ac:dyDescent="0.3">
      <c r="A1195" s="82" t="str">
        <f t="shared" si="36"/>
        <v>2016</v>
      </c>
      <c r="B1195" s="72" t="s">
        <v>131</v>
      </c>
      <c r="C1195" s="73" t="s">
        <v>132</v>
      </c>
      <c r="D1195" s="74" t="str">
        <f t="shared" si="37"/>
        <v>mai/2016</v>
      </c>
      <c r="E1195" s="53">
        <v>42520</v>
      </c>
      <c r="F1195" s="75" t="s">
        <v>840</v>
      </c>
      <c r="G1195" s="72"/>
      <c r="H1195" s="49" t="s">
        <v>863</v>
      </c>
      <c r="I1195" s="49" t="s">
        <v>129</v>
      </c>
      <c r="J1195" s="76">
        <v>-7.85</v>
      </c>
      <c r="K1195" s="83" t="str">
        <f>IFERROR(IFERROR(VLOOKUP(I1195,'DE-PARA'!B:D,3,0),VLOOKUP(I1195,'DE-PARA'!C:D,2,0)),"NÃO ENCONTRADO")</f>
        <v>Outras Saídas</v>
      </c>
      <c r="L1195" s="50" t="str">
        <f>VLOOKUP(K1195,'Base -Receita-Despesa'!$B:$P,1,FALSE)</f>
        <v>Outras Saídas</v>
      </c>
    </row>
    <row r="1196" spans="1:12" ht="15" customHeight="1" x14ac:dyDescent="0.3">
      <c r="A1196" s="82" t="str">
        <f t="shared" si="36"/>
        <v>2016</v>
      </c>
      <c r="B1196" s="72" t="s">
        <v>131</v>
      </c>
      <c r="C1196" s="73" t="s">
        <v>132</v>
      </c>
      <c r="D1196" s="74" t="str">
        <f t="shared" si="37"/>
        <v>mai/2016</v>
      </c>
      <c r="E1196" s="53">
        <v>42520</v>
      </c>
      <c r="F1196" s="75" t="s">
        <v>840</v>
      </c>
      <c r="G1196" s="72"/>
      <c r="H1196" s="49" t="s">
        <v>863</v>
      </c>
      <c r="I1196" s="49" t="s">
        <v>129</v>
      </c>
      <c r="J1196" s="76">
        <v>-7.85</v>
      </c>
      <c r="K1196" s="83" t="str">
        <f>IFERROR(IFERROR(VLOOKUP(I1196,'DE-PARA'!B:D,3,0),VLOOKUP(I1196,'DE-PARA'!C:D,2,0)),"NÃO ENCONTRADO")</f>
        <v>Outras Saídas</v>
      </c>
      <c r="L1196" s="50" t="str">
        <f>VLOOKUP(K1196,'Base -Receita-Despesa'!$B:$P,1,FALSE)</f>
        <v>Outras Saídas</v>
      </c>
    </row>
    <row r="1197" spans="1:12" ht="15" customHeight="1" x14ac:dyDescent="0.3">
      <c r="A1197" s="82" t="str">
        <f t="shared" si="36"/>
        <v>2016</v>
      </c>
      <c r="B1197" s="72" t="s">
        <v>131</v>
      </c>
      <c r="C1197" s="73" t="s">
        <v>132</v>
      </c>
      <c r="D1197" s="74" t="str">
        <f t="shared" si="37"/>
        <v>mai/2016</v>
      </c>
      <c r="E1197" s="53">
        <v>42520</v>
      </c>
      <c r="F1197" s="75" t="s">
        <v>840</v>
      </c>
      <c r="G1197" s="72"/>
      <c r="H1197" s="49" t="s">
        <v>863</v>
      </c>
      <c r="I1197" s="49" t="s">
        <v>129</v>
      </c>
      <c r="J1197" s="76">
        <v>-7.85</v>
      </c>
      <c r="K1197" s="83" t="str">
        <f>IFERROR(IFERROR(VLOOKUP(I1197,'DE-PARA'!B:D,3,0),VLOOKUP(I1197,'DE-PARA'!C:D,2,0)),"NÃO ENCONTRADO")</f>
        <v>Outras Saídas</v>
      </c>
      <c r="L1197" s="50" t="str">
        <f>VLOOKUP(K1197,'Base -Receita-Despesa'!$B:$P,1,FALSE)</f>
        <v>Outras Saídas</v>
      </c>
    </row>
    <row r="1198" spans="1:12" ht="15" customHeight="1" x14ac:dyDescent="0.3">
      <c r="A1198" s="82" t="str">
        <f t="shared" si="36"/>
        <v>2016</v>
      </c>
      <c r="B1198" s="72" t="s">
        <v>131</v>
      </c>
      <c r="C1198" s="73" t="s">
        <v>132</v>
      </c>
      <c r="D1198" s="74" t="str">
        <f t="shared" si="37"/>
        <v>mai/2016</v>
      </c>
      <c r="E1198" s="53">
        <v>42520</v>
      </c>
      <c r="F1198" s="75" t="s">
        <v>840</v>
      </c>
      <c r="G1198" s="72"/>
      <c r="H1198" s="49" t="s">
        <v>863</v>
      </c>
      <c r="I1198" s="49" t="s">
        <v>129</v>
      </c>
      <c r="J1198" s="76">
        <v>-7.85</v>
      </c>
      <c r="K1198" s="83" t="str">
        <f>IFERROR(IFERROR(VLOOKUP(I1198,'DE-PARA'!B:D,3,0),VLOOKUP(I1198,'DE-PARA'!C:D,2,0)),"NÃO ENCONTRADO")</f>
        <v>Outras Saídas</v>
      </c>
      <c r="L1198" s="50" t="str">
        <f>VLOOKUP(K1198,'Base -Receita-Despesa'!$B:$P,1,FALSE)</f>
        <v>Outras Saídas</v>
      </c>
    </row>
    <row r="1199" spans="1:12" ht="15" customHeight="1" x14ac:dyDescent="0.3">
      <c r="A1199" s="82" t="str">
        <f t="shared" si="36"/>
        <v>2016</v>
      </c>
      <c r="B1199" s="72" t="s">
        <v>131</v>
      </c>
      <c r="C1199" s="73" t="s">
        <v>132</v>
      </c>
      <c r="D1199" s="74" t="str">
        <f t="shared" si="37"/>
        <v>mai/2016</v>
      </c>
      <c r="E1199" s="53">
        <v>42520</v>
      </c>
      <c r="F1199" s="75" t="s">
        <v>840</v>
      </c>
      <c r="G1199" s="72"/>
      <c r="H1199" s="49" t="s">
        <v>863</v>
      </c>
      <c r="I1199" s="49" t="s">
        <v>129</v>
      </c>
      <c r="J1199" s="76">
        <v>-7.85</v>
      </c>
      <c r="K1199" s="83" t="str">
        <f>IFERROR(IFERROR(VLOOKUP(I1199,'DE-PARA'!B:D,3,0),VLOOKUP(I1199,'DE-PARA'!C:D,2,0)),"NÃO ENCONTRADO")</f>
        <v>Outras Saídas</v>
      </c>
      <c r="L1199" s="50" t="str">
        <f>VLOOKUP(K1199,'Base -Receita-Despesa'!$B:$P,1,FALSE)</f>
        <v>Outras Saídas</v>
      </c>
    </row>
    <row r="1200" spans="1:12" ht="15" customHeight="1" x14ac:dyDescent="0.3">
      <c r="A1200" s="82" t="str">
        <f t="shared" si="36"/>
        <v>2016</v>
      </c>
      <c r="B1200" s="72" t="s">
        <v>131</v>
      </c>
      <c r="C1200" s="73" t="s">
        <v>132</v>
      </c>
      <c r="D1200" s="74" t="str">
        <f t="shared" si="37"/>
        <v>mai/2016</v>
      </c>
      <c r="E1200" s="53">
        <v>42520</v>
      </c>
      <c r="F1200" s="75" t="s">
        <v>840</v>
      </c>
      <c r="G1200" s="72"/>
      <c r="H1200" s="49" t="s">
        <v>863</v>
      </c>
      <c r="I1200" s="49" t="s">
        <v>129</v>
      </c>
      <c r="J1200" s="76">
        <v>-7.85</v>
      </c>
      <c r="K1200" s="83" t="str">
        <f>IFERROR(IFERROR(VLOOKUP(I1200,'DE-PARA'!B:D,3,0),VLOOKUP(I1200,'DE-PARA'!C:D,2,0)),"NÃO ENCONTRADO")</f>
        <v>Outras Saídas</v>
      </c>
      <c r="L1200" s="50" t="str">
        <f>VLOOKUP(K1200,'Base -Receita-Despesa'!$B:$P,1,FALSE)</f>
        <v>Outras Saídas</v>
      </c>
    </row>
    <row r="1201" spans="1:12" ht="15" customHeight="1" x14ac:dyDescent="0.3">
      <c r="A1201" s="82" t="str">
        <f t="shared" si="36"/>
        <v>2016</v>
      </c>
      <c r="B1201" s="72" t="s">
        <v>131</v>
      </c>
      <c r="C1201" s="73" t="s">
        <v>132</v>
      </c>
      <c r="D1201" s="74" t="str">
        <f t="shared" si="37"/>
        <v>mai/2016</v>
      </c>
      <c r="E1201" s="53">
        <v>42520</v>
      </c>
      <c r="F1201" s="75" t="s">
        <v>840</v>
      </c>
      <c r="G1201" s="72"/>
      <c r="H1201" s="49" t="s">
        <v>863</v>
      </c>
      <c r="I1201" s="49" t="s">
        <v>129</v>
      </c>
      <c r="J1201" s="76">
        <v>-7.85</v>
      </c>
      <c r="K1201" s="83" t="str">
        <f>IFERROR(IFERROR(VLOOKUP(I1201,'DE-PARA'!B:D,3,0),VLOOKUP(I1201,'DE-PARA'!C:D,2,0)),"NÃO ENCONTRADO")</f>
        <v>Outras Saídas</v>
      </c>
      <c r="L1201" s="50" t="str">
        <f>VLOOKUP(K1201,'Base -Receita-Despesa'!$B:$P,1,FALSE)</f>
        <v>Outras Saídas</v>
      </c>
    </row>
    <row r="1202" spans="1:12" ht="15" customHeight="1" x14ac:dyDescent="0.3">
      <c r="A1202" s="82" t="str">
        <f t="shared" si="36"/>
        <v>2016</v>
      </c>
      <c r="B1202" s="72" t="s">
        <v>131</v>
      </c>
      <c r="C1202" s="73" t="s">
        <v>132</v>
      </c>
      <c r="D1202" s="74" t="str">
        <f t="shared" si="37"/>
        <v>mai/2016</v>
      </c>
      <c r="E1202" s="53">
        <v>42520</v>
      </c>
      <c r="F1202" s="75" t="s">
        <v>840</v>
      </c>
      <c r="G1202" s="72"/>
      <c r="H1202" s="49" t="s">
        <v>863</v>
      </c>
      <c r="I1202" s="49" t="s">
        <v>129</v>
      </c>
      <c r="J1202" s="76">
        <v>-7.85</v>
      </c>
      <c r="K1202" s="83" t="str">
        <f>IFERROR(IFERROR(VLOOKUP(I1202,'DE-PARA'!B:D,3,0),VLOOKUP(I1202,'DE-PARA'!C:D,2,0)),"NÃO ENCONTRADO")</f>
        <v>Outras Saídas</v>
      </c>
      <c r="L1202" s="50" t="str">
        <f>VLOOKUP(K1202,'Base -Receita-Despesa'!$B:$P,1,FALSE)</f>
        <v>Outras Saídas</v>
      </c>
    </row>
    <row r="1203" spans="1:12" ht="15" customHeight="1" x14ac:dyDescent="0.3">
      <c r="A1203" s="82" t="str">
        <f t="shared" si="36"/>
        <v>2016</v>
      </c>
      <c r="B1203" s="72" t="s">
        <v>131</v>
      </c>
      <c r="C1203" s="73" t="s">
        <v>132</v>
      </c>
      <c r="D1203" s="74" t="str">
        <f t="shared" si="37"/>
        <v>mai/2016</v>
      </c>
      <c r="E1203" s="53">
        <v>42520</v>
      </c>
      <c r="F1203" s="75" t="s">
        <v>840</v>
      </c>
      <c r="G1203" s="72"/>
      <c r="H1203" s="49" t="s">
        <v>863</v>
      </c>
      <c r="I1203" s="49" t="s">
        <v>129</v>
      </c>
      <c r="J1203" s="76">
        <v>-7.85</v>
      </c>
      <c r="K1203" s="83" t="str">
        <f>IFERROR(IFERROR(VLOOKUP(I1203,'DE-PARA'!B:D,3,0),VLOOKUP(I1203,'DE-PARA'!C:D,2,0)),"NÃO ENCONTRADO")</f>
        <v>Outras Saídas</v>
      </c>
      <c r="L1203" s="50" t="str">
        <f>VLOOKUP(K1203,'Base -Receita-Despesa'!$B:$P,1,FALSE)</f>
        <v>Outras Saídas</v>
      </c>
    </row>
    <row r="1204" spans="1:12" ht="15" customHeight="1" x14ac:dyDescent="0.3">
      <c r="A1204" s="82" t="str">
        <f t="shared" si="36"/>
        <v>2016</v>
      </c>
      <c r="B1204" s="72" t="s">
        <v>131</v>
      </c>
      <c r="C1204" s="73" t="s">
        <v>132</v>
      </c>
      <c r="D1204" s="74" t="str">
        <f t="shared" si="37"/>
        <v>mai/2016</v>
      </c>
      <c r="E1204" s="53">
        <v>42520</v>
      </c>
      <c r="F1204" s="75" t="s">
        <v>840</v>
      </c>
      <c r="G1204" s="72"/>
      <c r="H1204" s="49" t="s">
        <v>863</v>
      </c>
      <c r="I1204" s="49" t="s">
        <v>129</v>
      </c>
      <c r="J1204" s="76">
        <v>-7.85</v>
      </c>
      <c r="K1204" s="83" t="str">
        <f>IFERROR(IFERROR(VLOOKUP(I1204,'DE-PARA'!B:D,3,0),VLOOKUP(I1204,'DE-PARA'!C:D,2,0)),"NÃO ENCONTRADO")</f>
        <v>Outras Saídas</v>
      </c>
      <c r="L1204" s="50" t="str">
        <f>VLOOKUP(K1204,'Base -Receita-Despesa'!$B:$P,1,FALSE)</f>
        <v>Outras Saídas</v>
      </c>
    </row>
    <row r="1205" spans="1:12" ht="15" customHeight="1" x14ac:dyDescent="0.3">
      <c r="A1205" s="82" t="str">
        <f t="shared" si="36"/>
        <v>2016</v>
      </c>
      <c r="B1205" s="72" t="s">
        <v>131</v>
      </c>
      <c r="C1205" s="73" t="s">
        <v>132</v>
      </c>
      <c r="D1205" s="74" t="str">
        <f t="shared" si="37"/>
        <v>mai/2016</v>
      </c>
      <c r="E1205" s="53">
        <v>42520</v>
      </c>
      <c r="F1205" s="75" t="s">
        <v>840</v>
      </c>
      <c r="G1205" s="72"/>
      <c r="H1205" s="49" t="s">
        <v>863</v>
      </c>
      <c r="I1205" s="49" t="s">
        <v>129</v>
      </c>
      <c r="J1205" s="76">
        <v>-7.85</v>
      </c>
      <c r="K1205" s="83" t="str">
        <f>IFERROR(IFERROR(VLOOKUP(I1205,'DE-PARA'!B:D,3,0),VLOOKUP(I1205,'DE-PARA'!C:D,2,0)),"NÃO ENCONTRADO")</f>
        <v>Outras Saídas</v>
      </c>
      <c r="L1205" s="50" t="str">
        <f>VLOOKUP(K1205,'Base -Receita-Despesa'!$B:$P,1,FALSE)</f>
        <v>Outras Saídas</v>
      </c>
    </row>
    <row r="1206" spans="1:12" ht="15" customHeight="1" x14ac:dyDescent="0.3">
      <c r="A1206" s="82" t="str">
        <f t="shared" si="36"/>
        <v>2016</v>
      </c>
      <c r="B1206" s="72" t="s">
        <v>131</v>
      </c>
      <c r="C1206" s="73" t="s">
        <v>132</v>
      </c>
      <c r="D1206" s="74" t="str">
        <f t="shared" si="37"/>
        <v>mai/2016</v>
      </c>
      <c r="E1206" s="53">
        <v>42520</v>
      </c>
      <c r="F1206" s="75" t="s">
        <v>840</v>
      </c>
      <c r="G1206" s="72"/>
      <c r="H1206" s="49" t="s">
        <v>863</v>
      </c>
      <c r="I1206" s="49" t="s">
        <v>129</v>
      </c>
      <c r="J1206" s="76">
        <v>-7.85</v>
      </c>
      <c r="K1206" s="83" t="str">
        <f>IFERROR(IFERROR(VLOOKUP(I1206,'DE-PARA'!B:D,3,0),VLOOKUP(I1206,'DE-PARA'!C:D,2,0)),"NÃO ENCONTRADO")</f>
        <v>Outras Saídas</v>
      </c>
      <c r="L1206" s="50" t="str">
        <f>VLOOKUP(K1206,'Base -Receita-Despesa'!$B:$P,1,FALSE)</f>
        <v>Outras Saídas</v>
      </c>
    </row>
    <row r="1207" spans="1:12" ht="15" customHeight="1" x14ac:dyDescent="0.3">
      <c r="A1207" s="82" t="str">
        <f t="shared" si="36"/>
        <v>2016</v>
      </c>
      <c r="B1207" s="72" t="s">
        <v>131</v>
      </c>
      <c r="C1207" s="73" t="s">
        <v>132</v>
      </c>
      <c r="D1207" s="74" t="str">
        <f t="shared" si="37"/>
        <v>mai/2016</v>
      </c>
      <c r="E1207" s="53">
        <v>42520</v>
      </c>
      <c r="F1207" s="75" t="s">
        <v>840</v>
      </c>
      <c r="G1207" s="72"/>
      <c r="H1207" s="49" t="s">
        <v>863</v>
      </c>
      <c r="I1207" s="49" t="s">
        <v>129</v>
      </c>
      <c r="J1207" s="76">
        <v>-7.85</v>
      </c>
      <c r="K1207" s="83" t="str">
        <f>IFERROR(IFERROR(VLOOKUP(I1207,'DE-PARA'!B:D,3,0),VLOOKUP(I1207,'DE-PARA'!C:D,2,0)),"NÃO ENCONTRADO")</f>
        <v>Outras Saídas</v>
      </c>
      <c r="L1207" s="50" t="str">
        <f>VLOOKUP(K1207,'Base -Receita-Despesa'!$B:$P,1,FALSE)</f>
        <v>Outras Saídas</v>
      </c>
    </row>
    <row r="1208" spans="1:12" ht="15" customHeight="1" x14ac:dyDescent="0.3">
      <c r="A1208" s="82" t="str">
        <f t="shared" si="36"/>
        <v>2016</v>
      </c>
      <c r="B1208" s="72" t="s">
        <v>131</v>
      </c>
      <c r="C1208" s="73" t="s">
        <v>132</v>
      </c>
      <c r="D1208" s="74" t="str">
        <f t="shared" si="37"/>
        <v>mai/2016</v>
      </c>
      <c r="E1208" s="53">
        <v>42520</v>
      </c>
      <c r="F1208" s="75" t="s">
        <v>840</v>
      </c>
      <c r="G1208" s="72"/>
      <c r="H1208" s="49" t="s">
        <v>863</v>
      </c>
      <c r="I1208" s="49" t="s">
        <v>129</v>
      </c>
      <c r="J1208" s="76">
        <v>-7.85</v>
      </c>
      <c r="K1208" s="83" t="str">
        <f>IFERROR(IFERROR(VLOOKUP(I1208,'DE-PARA'!B:D,3,0),VLOOKUP(I1208,'DE-PARA'!C:D,2,0)),"NÃO ENCONTRADO")</f>
        <v>Outras Saídas</v>
      </c>
      <c r="L1208" s="50" t="str">
        <f>VLOOKUP(K1208,'Base -Receita-Despesa'!$B:$P,1,FALSE)</f>
        <v>Outras Saídas</v>
      </c>
    </row>
    <row r="1209" spans="1:12" ht="15" customHeight="1" x14ac:dyDescent="0.3">
      <c r="A1209" s="82" t="str">
        <f t="shared" si="36"/>
        <v>2016</v>
      </c>
      <c r="B1209" s="72" t="s">
        <v>131</v>
      </c>
      <c r="C1209" s="73" t="s">
        <v>132</v>
      </c>
      <c r="D1209" s="74" t="str">
        <f t="shared" si="37"/>
        <v>mai/2016</v>
      </c>
      <c r="E1209" s="53">
        <v>42520</v>
      </c>
      <c r="F1209" s="75" t="s">
        <v>840</v>
      </c>
      <c r="G1209" s="72"/>
      <c r="H1209" s="49" t="s">
        <v>863</v>
      </c>
      <c r="I1209" s="49" t="s">
        <v>129</v>
      </c>
      <c r="J1209" s="76">
        <v>-7.85</v>
      </c>
      <c r="K1209" s="83" t="str">
        <f>IFERROR(IFERROR(VLOOKUP(I1209,'DE-PARA'!B:D,3,0),VLOOKUP(I1209,'DE-PARA'!C:D,2,0)),"NÃO ENCONTRADO")</f>
        <v>Outras Saídas</v>
      </c>
      <c r="L1209" s="50" t="str">
        <f>VLOOKUP(K1209,'Base -Receita-Despesa'!$B:$P,1,FALSE)</f>
        <v>Outras Saídas</v>
      </c>
    </row>
    <row r="1210" spans="1:12" ht="15" customHeight="1" x14ac:dyDescent="0.3">
      <c r="A1210" s="82" t="str">
        <f t="shared" si="36"/>
        <v>2016</v>
      </c>
      <c r="B1210" s="72" t="s">
        <v>131</v>
      </c>
      <c r="C1210" s="73" t="s">
        <v>132</v>
      </c>
      <c r="D1210" s="74" t="str">
        <f t="shared" si="37"/>
        <v>mai/2016</v>
      </c>
      <c r="E1210" s="53">
        <v>42520</v>
      </c>
      <c r="F1210" s="75" t="s">
        <v>840</v>
      </c>
      <c r="G1210" s="72"/>
      <c r="H1210" s="49" t="s">
        <v>863</v>
      </c>
      <c r="I1210" s="49" t="s">
        <v>129</v>
      </c>
      <c r="J1210" s="76">
        <v>-7.85</v>
      </c>
      <c r="K1210" s="83" t="str">
        <f>IFERROR(IFERROR(VLOOKUP(I1210,'DE-PARA'!B:D,3,0),VLOOKUP(I1210,'DE-PARA'!C:D,2,0)),"NÃO ENCONTRADO")</f>
        <v>Outras Saídas</v>
      </c>
      <c r="L1210" s="50" t="str">
        <f>VLOOKUP(K1210,'Base -Receita-Despesa'!$B:$P,1,FALSE)</f>
        <v>Outras Saídas</v>
      </c>
    </row>
    <row r="1211" spans="1:12" ht="15" customHeight="1" x14ac:dyDescent="0.3">
      <c r="A1211" s="82" t="str">
        <f t="shared" si="36"/>
        <v>2016</v>
      </c>
      <c r="B1211" s="72" t="s">
        <v>131</v>
      </c>
      <c r="C1211" s="73" t="s">
        <v>132</v>
      </c>
      <c r="D1211" s="74" t="str">
        <f t="shared" si="37"/>
        <v>mai/2016</v>
      </c>
      <c r="E1211" s="53">
        <v>42520</v>
      </c>
      <c r="F1211" s="75" t="s">
        <v>840</v>
      </c>
      <c r="G1211" s="72"/>
      <c r="H1211" s="49" t="s">
        <v>863</v>
      </c>
      <c r="I1211" s="49" t="s">
        <v>129</v>
      </c>
      <c r="J1211" s="76">
        <v>-7.85</v>
      </c>
      <c r="K1211" s="83" t="str">
        <f>IFERROR(IFERROR(VLOOKUP(I1211,'DE-PARA'!B:D,3,0),VLOOKUP(I1211,'DE-PARA'!C:D,2,0)),"NÃO ENCONTRADO")</f>
        <v>Outras Saídas</v>
      </c>
      <c r="L1211" s="50" t="str">
        <f>VLOOKUP(K1211,'Base -Receita-Despesa'!$B:$P,1,FALSE)</f>
        <v>Outras Saídas</v>
      </c>
    </row>
    <row r="1212" spans="1:12" ht="15" customHeight="1" x14ac:dyDescent="0.3">
      <c r="A1212" s="82" t="str">
        <f t="shared" si="36"/>
        <v>2016</v>
      </c>
      <c r="B1212" s="72" t="s">
        <v>131</v>
      </c>
      <c r="C1212" s="73" t="s">
        <v>132</v>
      </c>
      <c r="D1212" s="74" t="str">
        <f t="shared" si="37"/>
        <v>mai/2016</v>
      </c>
      <c r="E1212" s="53">
        <v>42520</v>
      </c>
      <c r="F1212" s="75" t="s">
        <v>840</v>
      </c>
      <c r="G1212" s="72"/>
      <c r="H1212" s="49" t="s">
        <v>863</v>
      </c>
      <c r="I1212" s="49" t="s">
        <v>129</v>
      </c>
      <c r="J1212" s="76">
        <v>-7.85</v>
      </c>
      <c r="K1212" s="83" t="str">
        <f>IFERROR(IFERROR(VLOOKUP(I1212,'DE-PARA'!B:D,3,0),VLOOKUP(I1212,'DE-PARA'!C:D,2,0)),"NÃO ENCONTRADO")</f>
        <v>Outras Saídas</v>
      </c>
      <c r="L1212" s="50" t="str">
        <f>VLOOKUP(K1212,'Base -Receita-Despesa'!$B:$P,1,FALSE)</f>
        <v>Outras Saídas</v>
      </c>
    </row>
    <row r="1213" spans="1:12" ht="15" customHeight="1" x14ac:dyDescent="0.3">
      <c r="A1213" s="82" t="str">
        <f t="shared" si="36"/>
        <v>2016</v>
      </c>
      <c r="B1213" s="72" t="s">
        <v>131</v>
      </c>
      <c r="C1213" s="73" t="s">
        <v>132</v>
      </c>
      <c r="D1213" s="74" t="str">
        <f t="shared" si="37"/>
        <v>mai/2016</v>
      </c>
      <c r="E1213" s="53">
        <v>42520</v>
      </c>
      <c r="F1213" s="75" t="s">
        <v>125</v>
      </c>
      <c r="G1213" s="72"/>
      <c r="H1213" s="49" t="s">
        <v>1010</v>
      </c>
      <c r="I1213" s="49" t="s">
        <v>129</v>
      </c>
      <c r="J1213" s="76">
        <v>-3277.64</v>
      </c>
      <c r="K1213" s="83" t="str">
        <f>IFERROR(IFERROR(VLOOKUP(I1213,'DE-PARA'!B:D,3,0),VLOOKUP(I1213,'DE-PARA'!C:D,2,0)),"NÃO ENCONTRADO")</f>
        <v>Outras Saídas</v>
      </c>
      <c r="L1213" s="50" t="str">
        <f>VLOOKUP(K1213,'Base -Receita-Despesa'!$B:$P,1,FALSE)</f>
        <v>Outras Saídas</v>
      </c>
    </row>
    <row r="1214" spans="1:12" ht="15" customHeight="1" x14ac:dyDescent="0.3">
      <c r="A1214" s="82" t="str">
        <f t="shared" si="36"/>
        <v>2016</v>
      </c>
      <c r="B1214" s="72" t="s">
        <v>131</v>
      </c>
      <c r="C1214" s="73" t="s">
        <v>132</v>
      </c>
      <c r="D1214" s="74" t="str">
        <f t="shared" si="37"/>
        <v>mai/2016</v>
      </c>
      <c r="E1214" s="53">
        <v>42520</v>
      </c>
      <c r="F1214" s="75" t="s">
        <v>125</v>
      </c>
      <c r="G1214" s="72"/>
      <c r="H1214" s="49" t="s">
        <v>1011</v>
      </c>
      <c r="I1214" s="49" t="s">
        <v>127</v>
      </c>
      <c r="J1214" s="76">
        <v>-4376.1899999999996</v>
      </c>
      <c r="K1214" s="83" t="str">
        <f>IFERROR(IFERROR(VLOOKUP(I1214,'DE-PARA'!B:D,3,0),VLOOKUP(I1214,'DE-PARA'!C:D,2,0)),"NÃO ENCONTRADO")</f>
        <v>Pessoal</v>
      </c>
      <c r="L1214" s="50" t="str">
        <f>VLOOKUP(K1214,'Base -Receita-Despesa'!$B:$P,1,FALSE)</f>
        <v>Pessoal</v>
      </c>
    </row>
    <row r="1215" spans="1:12" ht="15" customHeight="1" x14ac:dyDescent="0.3">
      <c r="A1215" s="82" t="str">
        <f t="shared" si="36"/>
        <v>2016</v>
      </c>
      <c r="B1215" s="72" t="s">
        <v>131</v>
      </c>
      <c r="C1215" s="73" t="s">
        <v>132</v>
      </c>
      <c r="D1215" s="74" t="str">
        <f t="shared" si="37"/>
        <v>mai/2016</v>
      </c>
      <c r="E1215" s="53">
        <v>42520</v>
      </c>
      <c r="F1215" s="75" t="s">
        <v>1012</v>
      </c>
      <c r="G1215" s="72"/>
      <c r="H1215" s="49" t="s">
        <v>229</v>
      </c>
      <c r="I1215" s="49" t="s">
        <v>159</v>
      </c>
      <c r="J1215" s="76">
        <v>-2553.36</v>
      </c>
      <c r="K1215" s="83" t="str">
        <f>IFERROR(IFERROR(VLOOKUP(I1215,'DE-PARA'!B:D,3,0),VLOOKUP(I1215,'DE-PARA'!C:D,2,0)),"NÃO ENCONTRADO")</f>
        <v>Materiais</v>
      </c>
      <c r="L1215" s="50" t="str">
        <f>VLOOKUP(K1215,'Base -Receita-Despesa'!$B:$P,1,FALSE)</f>
        <v>Materiais</v>
      </c>
    </row>
    <row r="1216" spans="1:12" ht="15" customHeight="1" x14ac:dyDescent="0.3">
      <c r="A1216" s="82" t="str">
        <f t="shared" si="36"/>
        <v>2016</v>
      </c>
      <c r="B1216" s="72" t="s">
        <v>131</v>
      </c>
      <c r="C1216" s="73" t="s">
        <v>132</v>
      </c>
      <c r="D1216" s="74" t="str">
        <f t="shared" si="37"/>
        <v>mai/2016</v>
      </c>
      <c r="E1216" s="53">
        <v>42520</v>
      </c>
      <c r="F1216" s="75" t="s">
        <v>1013</v>
      </c>
      <c r="G1216" s="72"/>
      <c r="H1216" s="49" t="s">
        <v>229</v>
      </c>
      <c r="I1216" s="49" t="s">
        <v>159</v>
      </c>
      <c r="J1216" s="76">
        <v>-1485.18</v>
      </c>
      <c r="K1216" s="83" t="str">
        <f>IFERROR(IFERROR(VLOOKUP(I1216,'DE-PARA'!B:D,3,0),VLOOKUP(I1216,'DE-PARA'!C:D,2,0)),"NÃO ENCONTRADO")</f>
        <v>Materiais</v>
      </c>
      <c r="L1216" s="50" t="str">
        <f>VLOOKUP(K1216,'Base -Receita-Despesa'!$B:$P,1,FALSE)</f>
        <v>Materiais</v>
      </c>
    </row>
    <row r="1217" spans="1:12" ht="15" customHeight="1" x14ac:dyDescent="0.3">
      <c r="A1217" s="82" t="str">
        <f t="shared" si="36"/>
        <v>2016</v>
      </c>
      <c r="B1217" s="72" t="s">
        <v>131</v>
      </c>
      <c r="C1217" s="73" t="s">
        <v>132</v>
      </c>
      <c r="D1217" s="74" t="str">
        <f t="shared" si="37"/>
        <v>mai/2016</v>
      </c>
      <c r="E1217" s="53">
        <v>42520</v>
      </c>
      <c r="F1217" s="75" t="s">
        <v>1014</v>
      </c>
      <c r="G1217" s="72"/>
      <c r="H1217" s="49" t="s">
        <v>229</v>
      </c>
      <c r="I1217" s="49" t="s">
        <v>159</v>
      </c>
      <c r="J1217" s="76">
        <v>-1329.54</v>
      </c>
      <c r="K1217" s="83" t="str">
        <f>IFERROR(IFERROR(VLOOKUP(I1217,'DE-PARA'!B:D,3,0),VLOOKUP(I1217,'DE-PARA'!C:D,2,0)),"NÃO ENCONTRADO")</f>
        <v>Materiais</v>
      </c>
      <c r="L1217" s="50" t="str">
        <f>VLOOKUP(K1217,'Base -Receita-Despesa'!$B:$P,1,FALSE)</f>
        <v>Materiais</v>
      </c>
    </row>
    <row r="1218" spans="1:12" ht="15" customHeight="1" x14ac:dyDescent="0.3">
      <c r="A1218" s="82" t="str">
        <f t="shared" si="36"/>
        <v>2016</v>
      </c>
      <c r="B1218" s="72" t="s">
        <v>131</v>
      </c>
      <c r="C1218" s="73" t="s">
        <v>132</v>
      </c>
      <c r="D1218" s="74" t="str">
        <f t="shared" si="37"/>
        <v>mai/2016</v>
      </c>
      <c r="E1218" s="53">
        <v>42520</v>
      </c>
      <c r="F1218" s="75" t="s">
        <v>1014</v>
      </c>
      <c r="G1218" s="72"/>
      <c r="H1218" s="49" t="s">
        <v>229</v>
      </c>
      <c r="I1218" s="49" t="s">
        <v>159</v>
      </c>
      <c r="J1218" s="76">
        <v>-1329.53</v>
      </c>
      <c r="K1218" s="83" t="str">
        <f>IFERROR(IFERROR(VLOOKUP(I1218,'DE-PARA'!B:D,3,0),VLOOKUP(I1218,'DE-PARA'!C:D,2,0)),"NÃO ENCONTRADO")</f>
        <v>Materiais</v>
      </c>
      <c r="L1218" s="50" t="str">
        <f>VLOOKUP(K1218,'Base -Receita-Despesa'!$B:$P,1,FALSE)</f>
        <v>Materiais</v>
      </c>
    </row>
    <row r="1219" spans="1:12" ht="15" customHeight="1" x14ac:dyDescent="0.3">
      <c r="A1219" s="82" t="str">
        <f t="shared" si="36"/>
        <v>2016</v>
      </c>
      <c r="B1219" s="72" t="s">
        <v>131</v>
      </c>
      <c r="C1219" s="73" t="s">
        <v>132</v>
      </c>
      <c r="D1219" s="74" t="str">
        <f t="shared" si="37"/>
        <v>mai/2016</v>
      </c>
      <c r="E1219" s="53">
        <v>42520</v>
      </c>
      <c r="F1219" s="75" t="s">
        <v>1015</v>
      </c>
      <c r="G1219" s="72"/>
      <c r="H1219" s="49" t="s">
        <v>229</v>
      </c>
      <c r="I1219" s="49" t="s">
        <v>159</v>
      </c>
      <c r="J1219" s="76">
        <v>-1233.08</v>
      </c>
      <c r="K1219" s="83" t="str">
        <f>IFERROR(IFERROR(VLOOKUP(I1219,'DE-PARA'!B:D,3,0),VLOOKUP(I1219,'DE-PARA'!C:D,2,0)),"NÃO ENCONTRADO")</f>
        <v>Materiais</v>
      </c>
      <c r="L1219" s="50" t="str">
        <f>VLOOKUP(K1219,'Base -Receita-Despesa'!$B:$P,1,FALSE)</f>
        <v>Materiais</v>
      </c>
    </row>
    <row r="1220" spans="1:12" ht="15" customHeight="1" x14ac:dyDescent="0.3">
      <c r="A1220" s="82" t="str">
        <f t="shared" ref="A1220:A1283" si="38">IF(K1220="NÃO ENCONTRADO",0,RIGHT(D1220,4))</f>
        <v>2016</v>
      </c>
      <c r="B1220" s="72" t="s">
        <v>131</v>
      </c>
      <c r="C1220" s="73" t="s">
        <v>132</v>
      </c>
      <c r="D1220" s="74" t="str">
        <f t="shared" ref="D1220:D1283" si="39">TEXT(E1220,"mmm/aaaa")</f>
        <v>mai/2016</v>
      </c>
      <c r="E1220" s="53">
        <v>42520</v>
      </c>
      <c r="F1220" s="75" t="s">
        <v>1016</v>
      </c>
      <c r="G1220" s="72"/>
      <c r="H1220" s="49" t="s">
        <v>229</v>
      </c>
      <c r="I1220" s="49" t="s">
        <v>159</v>
      </c>
      <c r="J1220" s="76">
        <v>-1139.29</v>
      </c>
      <c r="K1220" s="83" t="str">
        <f>IFERROR(IFERROR(VLOOKUP(I1220,'DE-PARA'!B:D,3,0),VLOOKUP(I1220,'DE-PARA'!C:D,2,0)),"NÃO ENCONTRADO")</f>
        <v>Materiais</v>
      </c>
      <c r="L1220" s="50" t="str">
        <f>VLOOKUP(K1220,'Base -Receita-Despesa'!$B:$P,1,FALSE)</f>
        <v>Materiais</v>
      </c>
    </row>
    <row r="1221" spans="1:12" ht="15" customHeight="1" x14ac:dyDescent="0.3">
      <c r="A1221" s="82" t="str">
        <f t="shared" si="38"/>
        <v>2016</v>
      </c>
      <c r="B1221" s="72" t="s">
        <v>131</v>
      </c>
      <c r="C1221" s="73" t="s">
        <v>132</v>
      </c>
      <c r="D1221" s="74" t="str">
        <f t="shared" si="39"/>
        <v>mai/2016</v>
      </c>
      <c r="E1221" s="53">
        <v>42520</v>
      </c>
      <c r="F1221" s="75" t="s">
        <v>1017</v>
      </c>
      <c r="G1221" s="72"/>
      <c r="H1221" s="49" t="s">
        <v>229</v>
      </c>
      <c r="I1221" s="49" t="s">
        <v>159</v>
      </c>
      <c r="J1221" s="76">
        <v>-972.62</v>
      </c>
      <c r="K1221" s="83" t="str">
        <f>IFERROR(IFERROR(VLOOKUP(I1221,'DE-PARA'!B:D,3,0),VLOOKUP(I1221,'DE-PARA'!C:D,2,0)),"NÃO ENCONTRADO")</f>
        <v>Materiais</v>
      </c>
      <c r="L1221" s="50" t="str">
        <f>VLOOKUP(K1221,'Base -Receita-Despesa'!$B:$P,1,FALSE)</f>
        <v>Materiais</v>
      </c>
    </row>
    <row r="1222" spans="1:12" ht="15" customHeight="1" x14ac:dyDescent="0.3">
      <c r="A1222" s="82" t="str">
        <f t="shared" si="38"/>
        <v>2016</v>
      </c>
      <c r="B1222" s="72" t="s">
        <v>131</v>
      </c>
      <c r="C1222" s="73" t="s">
        <v>132</v>
      </c>
      <c r="D1222" s="74" t="str">
        <f t="shared" si="39"/>
        <v>mai/2016</v>
      </c>
      <c r="E1222" s="53">
        <v>42520</v>
      </c>
      <c r="F1222" s="75" t="s">
        <v>1018</v>
      </c>
      <c r="G1222" s="72"/>
      <c r="H1222" s="49" t="s">
        <v>229</v>
      </c>
      <c r="I1222" s="49" t="s">
        <v>159</v>
      </c>
      <c r="J1222" s="76">
        <v>-959.5</v>
      </c>
      <c r="K1222" s="83" t="str">
        <f>IFERROR(IFERROR(VLOOKUP(I1222,'DE-PARA'!B:D,3,0),VLOOKUP(I1222,'DE-PARA'!C:D,2,0)),"NÃO ENCONTRADO")</f>
        <v>Materiais</v>
      </c>
      <c r="L1222" s="50" t="str">
        <f>VLOOKUP(K1222,'Base -Receita-Despesa'!$B:$P,1,FALSE)</f>
        <v>Materiais</v>
      </c>
    </row>
    <row r="1223" spans="1:12" ht="15" customHeight="1" x14ac:dyDescent="0.3">
      <c r="A1223" s="82" t="str">
        <f t="shared" si="38"/>
        <v>2016</v>
      </c>
      <c r="B1223" s="72" t="s">
        <v>131</v>
      </c>
      <c r="C1223" s="73" t="s">
        <v>132</v>
      </c>
      <c r="D1223" s="74" t="str">
        <f t="shared" si="39"/>
        <v>mai/2016</v>
      </c>
      <c r="E1223" s="53">
        <v>42520</v>
      </c>
      <c r="F1223" s="75" t="s">
        <v>1018</v>
      </c>
      <c r="G1223" s="72"/>
      <c r="H1223" s="49" t="s">
        <v>229</v>
      </c>
      <c r="I1223" s="49" t="s">
        <v>159</v>
      </c>
      <c r="J1223" s="76">
        <v>-959.49</v>
      </c>
      <c r="K1223" s="83" t="str">
        <f>IFERROR(IFERROR(VLOOKUP(I1223,'DE-PARA'!B:D,3,0),VLOOKUP(I1223,'DE-PARA'!C:D,2,0)),"NÃO ENCONTRADO")</f>
        <v>Materiais</v>
      </c>
      <c r="L1223" s="50" t="str">
        <f>VLOOKUP(K1223,'Base -Receita-Despesa'!$B:$P,1,FALSE)</f>
        <v>Materiais</v>
      </c>
    </row>
    <row r="1224" spans="1:12" ht="15" customHeight="1" x14ac:dyDescent="0.3">
      <c r="A1224" s="82" t="str">
        <f t="shared" si="38"/>
        <v>2016</v>
      </c>
      <c r="B1224" s="72" t="s">
        <v>131</v>
      </c>
      <c r="C1224" s="73" t="s">
        <v>132</v>
      </c>
      <c r="D1224" s="74" t="str">
        <f t="shared" si="39"/>
        <v>mai/2016</v>
      </c>
      <c r="E1224" s="53">
        <v>42520</v>
      </c>
      <c r="F1224" s="75" t="s">
        <v>1019</v>
      </c>
      <c r="G1224" s="72"/>
      <c r="H1224" s="49" t="s">
        <v>229</v>
      </c>
      <c r="I1224" s="49" t="s">
        <v>159</v>
      </c>
      <c r="J1224" s="76">
        <v>-891</v>
      </c>
      <c r="K1224" s="83" t="str">
        <f>IFERROR(IFERROR(VLOOKUP(I1224,'DE-PARA'!B:D,3,0),VLOOKUP(I1224,'DE-PARA'!C:D,2,0)),"NÃO ENCONTRADO")</f>
        <v>Materiais</v>
      </c>
      <c r="L1224" s="50" t="str">
        <f>VLOOKUP(K1224,'Base -Receita-Despesa'!$B:$P,1,FALSE)</f>
        <v>Materiais</v>
      </c>
    </row>
    <row r="1225" spans="1:12" ht="15" customHeight="1" x14ac:dyDescent="0.3">
      <c r="A1225" s="82" t="str">
        <f t="shared" si="38"/>
        <v>2016</v>
      </c>
      <c r="B1225" s="72" t="s">
        <v>131</v>
      </c>
      <c r="C1225" s="73" t="s">
        <v>132</v>
      </c>
      <c r="D1225" s="74" t="str">
        <f t="shared" si="39"/>
        <v>mai/2016</v>
      </c>
      <c r="E1225" s="53">
        <v>42520</v>
      </c>
      <c r="F1225" s="75" t="s">
        <v>1020</v>
      </c>
      <c r="G1225" s="72"/>
      <c r="H1225" s="49" t="s">
        <v>229</v>
      </c>
      <c r="I1225" s="49" t="s">
        <v>159</v>
      </c>
      <c r="J1225" s="76">
        <v>-959.04</v>
      </c>
      <c r="K1225" s="83" t="str">
        <f>IFERROR(IFERROR(VLOOKUP(I1225,'DE-PARA'!B:D,3,0),VLOOKUP(I1225,'DE-PARA'!C:D,2,0)),"NÃO ENCONTRADO")</f>
        <v>Materiais</v>
      </c>
      <c r="L1225" s="50" t="str">
        <f>VLOOKUP(K1225,'Base -Receita-Despesa'!$B:$P,1,FALSE)</f>
        <v>Materiais</v>
      </c>
    </row>
    <row r="1226" spans="1:12" ht="15" customHeight="1" x14ac:dyDescent="0.3">
      <c r="A1226" s="82" t="str">
        <f t="shared" si="38"/>
        <v>2016</v>
      </c>
      <c r="B1226" s="72" t="s">
        <v>131</v>
      </c>
      <c r="C1226" s="73" t="s">
        <v>132</v>
      </c>
      <c r="D1226" s="74" t="str">
        <f t="shared" si="39"/>
        <v>mai/2016</v>
      </c>
      <c r="E1226" s="53">
        <v>42520</v>
      </c>
      <c r="F1226" s="75" t="s">
        <v>1021</v>
      </c>
      <c r="G1226" s="72"/>
      <c r="H1226" s="49" t="s">
        <v>229</v>
      </c>
      <c r="I1226" s="49" t="s">
        <v>159</v>
      </c>
      <c r="J1226" s="76">
        <v>-891</v>
      </c>
      <c r="K1226" s="83" t="str">
        <f>IFERROR(IFERROR(VLOOKUP(I1226,'DE-PARA'!B:D,3,0),VLOOKUP(I1226,'DE-PARA'!C:D,2,0)),"NÃO ENCONTRADO")</f>
        <v>Materiais</v>
      </c>
      <c r="L1226" s="50" t="str">
        <f>VLOOKUP(K1226,'Base -Receita-Despesa'!$B:$P,1,FALSE)</f>
        <v>Materiais</v>
      </c>
    </row>
    <row r="1227" spans="1:12" ht="15" customHeight="1" x14ac:dyDescent="0.3">
      <c r="A1227" s="82" t="str">
        <f t="shared" si="38"/>
        <v>2016</v>
      </c>
      <c r="B1227" s="72" t="s">
        <v>131</v>
      </c>
      <c r="C1227" s="73" t="s">
        <v>132</v>
      </c>
      <c r="D1227" s="74" t="str">
        <f t="shared" si="39"/>
        <v>mai/2016</v>
      </c>
      <c r="E1227" s="53">
        <v>42520</v>
      </c>
      <c r="F1227" s="75" t="s">
        <v>1022</v>
      </c>
      <c r="G1227" s="72"/>
      <c r="H1227" s="49" t="s">
        <v>229</v>
      </c>
      <c r="I1227" s="49" t="s">
        <v>159</v>
      </c>
      <c r="J1227" s="76">
        <v>-612.63</v>
      </c>
      <c r="K1227" s="83" t="str">
        <f>IFERROR(IFERROR(VLOOKUP(I1227,'DE-PARA'!B:D,3,0),VLOOKUP(I1227,'DE-PARA'!C:D,2,0)),"NÃO ENCONTRADO")</f>
        <v>Materiais</v>
      </c>
      <c r="L1227" s="50" t="str">
        <f>VLOOKUP(K1227,'Base -Receita-Despesa'!$B:$P,1,FALSE)</f>
        <v>Materiais</v>
      </c>
    </row>
    <row r="1228" spans="1:12" ht="15" customHeight="1" x14ac:dyDescent="0.3">
      <c r="A1228" s="82" t="str">
        <f t="shared" si="38"/>
        <v>2016</v>
      </c>
      <c r="B1228" s="72" t="s">
        <v>131</v>
      </c>
      <c r="C1228" s="73" t="s">
        <v>132</v>
      </c>
      <c r="D1228" s="74" t="str">
        <f t="shared" si="39"/>
        <v>mai/2016</v>
      </c>
      <c r="E1228" s="53">
        <v>42520</v>
      </c>
      <c r="F1228" s="75" t="s">
        <v>1023</v>
      </c>
      <c r="G1228" s="72"/>
      <c r="H1228" s="49" t="s">
        <v>229</v>
      </c>
      <c r="I1228" s="49" t="s">
        <v>159</v>
      </c>
      <c r="J1228" s="76">
        <v>-513.59</v>
      </c>
      <c r="K1228" s="83" t="str">
        <f>IFERROR(IFERROR(VLOOKUP(I1228,'DE-PARA'!B:D,3,0),VLOOKUP(I1228,'DE-PARA'!C:D,2,0)),"NÃO ENCONTRADO")</f>
        <v>Materiais</v>
      </c>
      <c r="L1228" s="50" t="str">
        <f>VLOOKUP(K1228,'Base -Receita-Despesa'!$B:$P,1,FALSE)</f>
        <v>Materiais</v>
      </c>
    </row>
    <row r="1229" spans="1:12" ht="15" customHeight="1" x14ac:dyDescent="0.3">
      <c r="A1229" s="82" t="str">
        <f t="shared" si="38"/>
        <v>2016</v>
      </c>
      <c r="B1229" s="72" t="s">
        <v>131</v>
      </c>
      <c r="C1229" s="73" t="s">
        <v>132</v>
      </c>
      <c r="D1229" s="74" t="str">
        <f t="shared" si="39"/>
        <v>mai/2016</v>
      </c>
      <c r="E1229" s="53">
        <v>42520</v>
      </c>
      <c r="F1229" s="75" t="s">
        <v>1024</v>
      </c>
      <c r="G1229" s="72"/>
      <c r="H1229" s="49" t="s">
        <v>229</v>
      </c>
      <c r="I1229" s="49" t="s">
        <v>159</v>
      </c>
      <c r="J1229" s="76">
        <v>-128.47999999999999</v>
      </c>
      <c r="K1229" s="83" t="str">
        <f>IFERROR(IFERROR(VLOOKUP(I1229,'DE-PARA'!B:D,3,0),VLOOKUP(I1229,'DE-PARA'!C:D,2,0)),"NÃO ENCONTRADO")</f>
        <v>Materiais</v>
      </c>
      <c r="L1229" s="50" t="str">
        <f>VLOOKUP(K1229,'Base -Receita-Despesa'!$B:$P,1,FALSE)</f>
        <v>Materiais</v>
      </c>
    </row>
    <row r="1230" spans="1:12" ht="15" customHeight="1" x14ac:dyDescent="0.3">
      <c r="A1230" s="82" t="str">
        <f t="shared" si="38"/>
        <v>2016</v>
      </c>
      <c r="B1230" s="72" t="s">
        <v>131</v>
      </c>
      <c r="C1230" s="73" t="s">
        <v>132</v>
      </c>
      <c r="D1230" s="74" t="str">
        <f t="shared" si="39"/>
        <v>mai/2016</v>
      </c>
      <c r="E1230" s="53">
        <v>42520</v>
      </c>
      <c r="F1230" s="75" t="s">
        <v>1025</v>
      </c>
      <c r="G1230" s="72"/>
      <c r="H1230" s="49" t="s">
        <v>229</v>
      </c>
      <c r="I1230" s="49" t="s">
        <v>159</v>
      </c>
      <c r="J1230" s="76">
        <v>-206.82</v>
      </c>
      <c r="K1230" s="83" t="str">
        <f>IFERROR(IFERROR(VLOOKUP(I1230,'DE-PARA'!B:D,3,0),VLOOKUP(I1230,'DE-PARA'!C:D,2,0)),"NÃO ENCONTRADO")</f>
        <v>Materiais</v>
      </c>
      <c r="L1230" s="50" t="str">
        <f>VLOOKUP(K1230,'Base -Receita-Despesa'!$B:$P,1,FALSE)</f>
        <v>Materiais</v>
      </c>
    </row>
    <row r="1231" spans="1:12" ht="15" customHeight="1" x14ac:dyDescent="0.3">
      <c r="A1231" s="82" t="str">
        <f t="shared" si="38"/>
        <v>2016</v>
      </c>
      <c r="B1231" s="72" t="s">
        <v>131</v>
      </c>
      <c r="C1231" s="73" t="s">
        <v>132</v>
      </c>
      <c r="D1231" s="74" t="str">
        <f t="shared" si="39"/>
        <v>mai/2016</v>
      </c>
      <c r="E1231" s="53">
        <v>42520</v>
      </c>
      <c r="F1231" s="75" t="s">
        <v>1026</v>
      </c>
      <c r="G1231" s="72"/>
      <c r="H1231" s="49" t="s">
        <v>229</v>
      </c>
      <c r="I1231" s="49" t="s">
        <v>159</v>
      </c>
      <c r="J1231" s="76">
        <v>-2014.75</v>
      </c>
      <c r="K1231" s="83" t="str">
        <f>IFERROR(IFERROR(VLOOKUP(I1231,'DE-PARA'!B:D,3,0),VLOOKUP(I1231,'DE-PARA'!C:D,2,0)),"NÃO ENCONTRADO")</f>
        <v>Materiais</v>
      </c>
      <c r="L1231" s="50" t="str">
        <f>VLOOKUP(K1231,'Base -Receita-Despesa'!$B:$P,1,FALSE)</f>
        <v>Materiais</v>
      </c>
    </row>
    <row r="1232" spans="1:12" ht="15" customHeight="1" x14ac:dyDescent="0.3">
      <c r="A1232" s="82" t="str">
        <f t="shared" si="38"/>
        <v>2016</v>
      </c>
      <c r="B1232" s="72" t="s">
        <v>131</v>
      </c>
      <c r="C1232" s="73" t="s">
        <v>132</v>
      </c>
      <c r="D1232" s="74" t="str">
        <f t="shared" si="39"/>
        <v>mai/2016</v>
      </c>
      <c r="E1232" s="53">
        <v>42520</v>
      </c>
      <c r="F1232" s="75" t="s">
        <v>1027</v>
      </c>
      <c r="G1232" s="72"/>
      <c r="H1232" s="49" t="s">
        <v>229</v>
      </c>
      <c r="I1232" s="49" t="s">
        <v>159</v>
      </c>
      <c r="J1232" s="76">
        <v>-2520.9</v>
      </c>
      <c r="K1232" s="83" t="str">
        <f>IFERROR(IFERROR(VLOOKUP(I1232,'DE-PARA'!B:D,3,0),VLOOKUP(I1232,'DE-PARA'!C:D,2,0)),"NÃO ENCONTRADO")</f>
        <v>Materiais</v>
      </c>
      <c r="L1232" s="50" t="str">
        <f>VLOOKUP(K1232,'Base -Receita-Despesa'!$B:$P,1,FALSE)</f>
        <v>Materiais</v>
      </c>
    </row>
    <row r="1233" spans="1:12" ht="15" customHeight="1" x14ac:dyDescent="0.3">
      <c r="A1233" s="82" t="str">
        <f t="shared" si="38"/>
        <v>2016</v>
      </c>
      <c r="B1233" s="72" t="s">
        <v>131</v>
      </c>
      <c r="C1233" s="73" t="s">
        <v>132</v>
      </c>
      <c r="D1233" s="74" t="str">
        <f t="shared" si="39"/>
        <v>mai/2016</v>
      </c>
      <c r="E1233" s="53">
        <v>42520</v>
      </c>
      <c r="F1233" s="75" t="s">
        <v>125</v>
      </c>
      <c r="G1233" s="72"/>
      <c r="H1233" s="49" t="s">
        <v>1028</v>
      </c>
      <c r="I1233" s="49" t="s">
        <v>1029</v>
      </c>
      <c r="J1233" s="76">
        <v>-2836.01</v>
      </c>
      <c r="K1233" s="83" t="str">
        <f>IFERROR(IFERROR(VLOOKUP(I1233,'DE-PARA'!B:D,3,0),VLOOKUP(I1233,'DE-PARA'!C:D,2,0)),"NÃO ENCONTRADO")</f>
        <v>Pessoal</v>
      </c>
      <c r="L1233" s="50" t="str">
        <f>VLOOKUP(K1233,'Base -Receita-Despesa'!$B:$P,1,FALSE)</f>
        <v>Pessoal</v>
      </c>
    </row>
    <row r="1234" spans="1:12" ht="15" customHeight="1" x14ac:dyDescent="0.3">
      <c r="A1234" s="82" t="str">
        <f t="shared" si="38"/>
        <v>2016</v>
      </c>
      <c r="B1234" s="72" t="s">
        <v>131</v>
      </c>
      <c r="C1234" s="73" t="s">
        <v>132</v>
      </c>
      <c r="D1234" s="74" t="str">
        <f t="shared" si="39"/>
        <v>mai/2016</v>
      </c>
      <c r="E1234" s="53">
        <v>42520</v>
      </c>
      <c r="F1234" s="75" t="s">
        <v>125</v>
      </c>
      <c r="G1234" s="72"/>
      <c r="H1234" s="49" t="s">
        <v>1030</v>
      </c>
      <c r="I1234" s="49" t="s">
        <v>127</v>
      </c>
      <c r="J1234" s="76">
        <v>-1708.14</v>
      </c>
      <c r="K1234" s="83" t="str">
        <f>IFERROR(IFERROR(VLOOKUP(I1234,'DE-PARA'!B:D,3,0),VLOOKUP(I1234,'DE-PARA'!C:D,2,0)),"NÃO ENCONTRADO")</f>
        <v>Pessoal</v>
      </c>
      <c r="L1234" s="50" t="str">
        <f>VLOOKUP(K1234,'Base -Receita-Despesa'!$B:$P,1,FALSE)</f>
        <v>Pessoal</v>
      </c>
    </row>
    <row r="1235" spans="1:12" ht="15" customHeight="1" x14ac:dyDescent="0.3">
      <c r="A1235" s="82" t="str">
        <f t="shared" si="38"/>
        <v>2016</v>
      </c>
      <c r="B1235" s="72" t="s">
        <v>131</v>
      </c>
      <c r="C1235" s="73" t="s">
        <v>132</v>
      </c>
      <c r="D1235" s="74" t="str">
        <f t="shared" si="39"/>
        <v>mai/2016</v>
      </c>
      <c r="E1235" s="53">
        <v>42520</v>
      </c>
      <c r="F1235" s="75" t="s">
        <v>125</v>
      </c>
      <c r="G1235" s="72"/>
      <c r="H1235" s="49" t="s">
        <v>1031</v>
      </c>
      <c r="I1235" s="49" t="s">
        <v>127</v>
      </c>
      <c r="J1235" s="76">
        <v>-1740.1</v>
      </c>
      <c r="K1235" s="83" t="str">
        <f>IFERROR(IFERROR(VLOOKUP(I1235,'DE-PARA'!B:D,3,0),VLOOKUP(I1235,'DE-PARA'!C:D,2,0)),"NÃO ENCONTRADO")</f>
        <v>Pessoal</v>
      </c>
      <c r="L1235" s="50" t="str">
        <f>VLOOKUP(K1235,'Base -Receita-Despesa'!$B:$P,1,FALSE)</f>
        <v>Pessoal</v>
      </c>
    </row>
    <row r="1236" spans="1:12" ht="15" customHeight="1" x14ac:dyDescent="0.3">
      <c r="A1236" s="82" t="str">
        <f t="shared" si="38"/>
        <v>2016</v>
      </c>
      <c r="B1236" s="72" t="s">
        <v>249</v>
      </c>
      <c r="C1236" s="73" t="s">
        <v>132</v>
      </c>
      <c r="D1236" s="74" t="str">
        <f t="shared" si="39"/>
        <v>mai/2016</v>
      </c>
      <c r="E1236" s="53">
        <v>42520</v>
      </c>
      <c r="F1236" s="75" t="s">
        <v>840</v>
      </c>
      <c r="G1236" s="72"/>
      <c r="H1236" s="49"/>
      <c r="I1236" s="49" t="s">
        <v>129</v>
      </c>
      <c r="J1236" s="76">
        <v>-50.6</v>
      </c>
      <c r="K1236" s="83" t="str">
        <f>IFERROR(IFERROR(VLOOKUP(I1236,'DE-PARA'!B:D,3,0),VLOOKUP(I1236,'DE-PARA'!C:D,2,0)),"NÃO ENCONTRADO")</f>
        <v>Outras Saídas</v>
      </c>
      <c r="L1236" s="50" t="str">
        <f>VLOOKUP(K1236,'Base -Receita-Despesa'!$B:$P,1,FALSE)</f>
        <v>Outras Saídas</v>
      </c>
    </row>
    <row r="1237" spans="1:12" ht="15" customHeight="1" x14ac:dyDescent="0.3">
      <c r="A1237" s="82" t="str">
        <f t="shared" si="38"/>
        <v>2016</v>
      </c>
      <c r="B1237" s="72" t="s">
        <v>131</v>
      </c>
      <c r="C1237" s="73" t="s">
        <v>132</v>
      </c>
      <c r="D1237" s="74" t="str">
        <f t="shared" si="39"/>
        <v>mai/2016</v>
      </c>
      <c r="E1237" s="53">
        <v>42521</v>
      </c>
      <c r="F1237" s="75" t="s">
        <v>1032</v>
      </c>
      <c r="G1237" s="72"/>
      <c r="H1237" s="49" t="s">
        <v>1033</v>
      </c>
      <c r="I1237" s="49" t="s">
        <v>529</v>
      </c>
      <c r="J1237" s="76">
        <v>-8229.4</v>
      </c>
      <c r="K1237" s="83" t="str">
        <f>IFERROR(IFERROR(VLOOKUP(I1237,'DE-PARA'!B:D,3,0),VLOOKUP(I1237,'DE-PARA'!C:D,2,0)),"NÃO ENCONTRADO")</f>
        <v>Tributos, Taxas e Contribuições</v>
      </c>
      <c r="L1237" s="50" t="str">
        <f>VLOOKUP(K1237,'Base -Receita-Despesa'!$B:$P,1,FALSE)</f>
        <v>Tributos, Taxas e Contribuições</v>
      </c>
    </row>
    <row r="1238" spans="1:12" ht="15" customHeight="1" x14ac:dyDescent="0.3">
      <c r="A1238" s="82" t="str">
        <f t="shared" si="38"/>
        <v>2016</v>
      </c>
      <c r="B1238" s="72" t="s">
        <v>131</v>
      </c>
      <c r="C1238" s="73" t="s">
        <v>132</v>
      </c>
      <c r="D1238" s="74" t="str">
        <f t="shared" si="39"/>
        <v>mai/2016</v>
      </c>
      <c r="E1238" s="53">
        <v>42521</v>
      </c>
      <c r="F1238" s="75" t="s">
        <v>840</v>
      </c>
      <c r="G1238" s="72"/>
      <c r="H1238" s="49" t="s">
        <v>863</v>
      </c>
      <c r="I1238" s="49" t="s">
        <v>129</v>
      </c>
      <c r="J1238" s="76">
        <v>-7.85</v>
      </c>
      <c r="K1238" s="83" t="str">
        <f>IFERROR(IFERROR(VLOOKUP(I1238,'DE-PARA'!B:D,3,0),VLOOKUP(I1238,'DE-PARA'!C:D,2,0)),"NÃO ENCONTRADO")</f>
        <v>Outras Saídas</v>
      </c>
      <c r="L1238" s="50" t="str">
        <f>VLOOKUP(K1238,'Base -Receita-Despesa'!$B:$P,1,FALSE)</f>
        <v>Outras Saídas</v>
      </c>
    </row>
    <row r="1239" spans="1:12" ht="15" customHeight="1" x14ac:dyDescent="0.3">
      <c r="A1239" s="82" t="str">
        <f t="shared" si="38"/>
        <v>2016</v>
      </c>
      <c r="B1239" s="72" t="s">
        <v>131</v>
      </c>
      <c r="C1239" s="73" t="s">
        <v>132</v>
      </c>
      <c r="D1239" s="74" t="str">
        <f t="shared" si="39"/>
        <v>mai/2016</v>
      </c>
      <c r="E1239" s="53">
        <v>42521</v>
      </c>
      <c r="F1239" s="75" t="s">
        <v>840</v>
      </c>
      <c r="G1239" s="72"/>
      <c r="H1239" s="49" t="s">
        <v>1034</v>
      </c>
      <c r="I1239" s="49" t="s">
        <v>129</v>
      </c>
      <c r="J1239" s="76">
        <v>891</v>
      </c>
      <c r="K1239" s="83" t="str">
        <f>IFERROR(IFERROR(VLOOKUP(I1239,'DE-PARA'!B:D,3,0),VLOOKUP(I1239,'DE-PARA'!C:D,2,0)),"NÃO ENCONTRADO")</f>
        <v>Outras Saídas</v>
      </c>
      <c r="L1239" s="50" t="str">
        <f>VLOOKUP(K1239,'Base -Receita-Despesa'!$B:$P,1,FALSE)</f>
        <v>Outras Saídas</v>
      </c>
    </row>
    <row r="1240" spans="1:12" ht="15" customHeight="1" x14ac:dyDescent="0.3">
      <c r="A1240" s="82" t="str">
        <f t="shared" si="38"/>
        <v>2016</v>
      </c>
      <c r="B1240" s="72" t="s">
        <v>131</v>
      </c>
      <c r="C1240" s="73" t="s">
        <v>132</v>
      </c>
      <c r="D1240" s="74" t="str">
        <f t="shared" si="39"/>
        <v>mai/2016</v>
      </c>
      <c r="E1240" s="53">
        <v>42521</v>
      </c>
      <c r="F1240" s="75" t="s">
        <v>840</v>
      </c>
      <c r="G1240" s="72"/>
      <c r="H1240" s="49" t="s">
        <v>1001</v>
      </c>
      <c r="I1240" s="49" t="s">
        <v>129</v>
      </c>
      <c r="J1240" s="76">
        <v>7.85</v>
      </c>
      <c r="K1240" s="83" t="str">
        <f>IFERROR(IFERROR(VLOOKUP(I1240,'DE-PARA'!B:D,3,0),VLOOKUP(I1240,'DE-PARA'!C:D,2,0)),"NÃO ENCONTRADO")</f>
        <v>Outras Saídas</v>
      </c>
      <c r="L1240" s="50" t="str">
        <f>VLOOKUP(K1240,'Base -Receita-Despesa'!$B:$P,1,FALSE)</f>
        <v>Outras Saídas</v>
      </c>
    </row>
    <row r="1241" spans="1:12" ht="15" customHeight="1" x14ac:dyDescent="0.3">
      <c r="A1241" s="82" t="str">
        <f t="shared" si="38"/>
        <v>2016</v>
      </c>
      <c r="B1241" s="72" t="s">
        <v>131</v>
      </c>
      <c r="C1241" s="73" t="s">
        <v>132</v>
      </c>
      <c r="D1241" s="74" t="str">
        <f t="shared" si="39"/>
        <v>mai/2016</v>
      </c>
      <c r="E1241" s="53">
        <v>42521</v>
      </c>
      <c r="F1241" s="75" t="s">
        <v>1035</v>
      </c>
      <c r="G1241" s="72"/>
      <c r="H1241" s="49" t="s">
        <v>282</v>
      </c>
      <c r="I1241" s="49" t="s">
        <v>110</v>
      </c>
      <c r="J1241" s="76">
        <v>-997.09</v>
      </c>
      <c r="K1241" s="83" t="str">
        <f>IFERROR(IFERROR(VLOOKUP(I1241,'DE-PARA'!B:D,3,0),VLOOKUP(I1241,'DE-PARA'!C:D,2,0)),"NÃO ENCONTRADO")</f>
        <v>Serviços</v>
      </c>
      <c r="L1241" s="50" t="str">
        <f>VLOOKUP(K1241,'Base -Receita-Despesa'!$B:$P,1,FALSE)</f>
        <v>Serviços</v>
      </c>
    </row>
    <row r="1242" spans="1:12" ht="15" customHeight="1" x14ac:dyDescent="0.3">
      <c r="A1242" s="82" t="str">
        <f t="shared" si="38"/>
        <v>2016</v>
      </c>
      <c r="B1242" s="72" t="s">
        <v>131</v>
      </c>
      <c r="C1242" s="73" t="s">
        <v>132</v>
      </c>
      <c r="D1242" s="74" t="str">
        <f t="shared" si="39"/>
        <v>mai/2016</v>
      </c>
      <c r="E1242" s="53">
        <v>42521</v>
      </c>
      <c r="F1242" s="75" t="s">
        <v>241</v>
      </c>
      <c r="G1242" s="72"/>
      <c r="H1242" s="49" t="s">
        <v>235</v>
      </c>
      <c r="I1242" s="49" t="s">
        <v>204</v>
      </c>
      <c r="J1242" s="76">
        <v>-2504.58</v>
      </c>
      <c r="K1242" s="83" t="str">
        <f>IFERROR(IFERROR(VLOOKUP(I1242,'DE-PARA'!B:D,3,0),VLOOKUP(I1242,'DE-PARA'!C:D,2,0)),"NÃO ENCONTRADO")</f>
        <v>Serviços</v>
      </c>
      <c r="L1242" s="50" t="str">
        <f>VLOOKUP(K1242,'Base -Receita-Despesa'!$B:$P,1,FALSE)</f>
        <v>Serviços</v>
      </c>
    </row>
    <row r="1243" spans="1:12" ht="15" customHeight="1" x14ac:dyDescent="0.3">
      <c r="A1243" s="82" t="str">
        <f t="shared" si="38"/>
        <v>2016</v>
      </c>
      <c r="B1243" s="72" t="s">
        <v>131</v>
      </c>
      <c r="C1243" s="73" t="s">
        <v>132</v>
      </c>
      <c r="D1243" s="74" t="str">
        <f t="shared" si="39"/>
        <v>mai/2016</v>
      </c>
      <c r="E1243" s="53">
        <v>42521</v>
      </c>
      <c r="F1243" s="75" t="s">
        <v>1036</v>
      </c>
      <c r="G1243" s="72"/>
      <c r="H1243" s="49" t="s">
        <v>183</v>
      </c>
      <c r="I1243" s="49" t="s">
        <v>159</v>
      </c>
      <c r="J1243" s="76">
        <v>-595.70000000000005</v>
      </c>
      <c r="K1243" s="83" t="str">
        <f>IFERROR(IFERROR(VLOOKUP(I1243,'DE-PARA'!B:D,3,0),VLOOKUP(I1243,'DE-PARA'!C:D,2,0)),"NÃO ENCONTRADO")</f>
        <v>Materiais</v>
      </c>
      <c r="L1243" s="50" t="str">
        <f>VLOOKUP(K1243,'Base -Receita-Despesa'!$B:$P,1,FALSE)</f>
        <v>Materiais</v>
      </c>
    </row>
    <row r="1244" spans="1:12" ht="15" customHeight="1" x14ac:dyDescent="0.3">
      <c r="A1244" s="82" t="str">
        <f t="shared" si="38"/>
        <v>2016</v>
      </c>
      <c r="B1244" s="72" t="s">
        <v>1037</v>
      </c>
      <c r="C1244" s="73" t="s">
        <v>132</v>
      </c>
      <c r="D1244" s="74" t="str">
        <f t="shared" si="39"/>
        <v>mai/2016</v>
      </c>
      <c r="E1244" s="53">
        <v>42521</v>
      </c>
      <c r="F1244" s="75" t="s">
        <v>239</v>
      </c>
      <c r="G1244" s="72"/>
      <c r="H1244" s="49" t="s">
        <v>1038</v>
      </c>
      <c r="I1244" s="49" t="s">
        <v>240</v>
      </c>
      <c r="J1244" s="76">
        <v>1.0600000000000005</v>
      </c>
      <c r="K1244" s="83" t="str">
        <f>IFERROR(IFERROR(VLOOKUP(I1244,'DE-PARA'!B:D,3,0),VLOOKUP(I1244,'DE-PARA'!C:D,2,0)),"NÃO ENCONTRADO")</f>
        <v>Rendimentos sobre Aplicações Financeiras</v>
      </c>
      <c r="L1244" s="50" t="str">
        <f>VLOOKUP(K1244,'Base -Receita-Despesa'!$B:$P,1,FALSE)</f>
        <v>Rendimentos sobre Aplicações Financeiras</v>
      </c>
    </row>
    <row r="1245" spans="1:12" ht="15" customHeight="1" x14ac:dyDescent="0.3">
      <c r="A1245" s="82" t="str">
        <f t="shared" si="38"/>
        <v>2016</v>
      </c>
      <c r="B1245" s="72" t="s">
        <v>238</v>
      </c>
      <c r="C1245" s="73" t="s">
        <v>132</v>
      </c>
      <c r="D1245" s="74" t="str">
        <f t="shared" si="39"/>
        <v>mai/2016</v>
      </c>
      <c r="E1245" s="53">
        <v>42521</v>
      </c>
      <c r="F1245" s="75" t="s">
        <v>239</v>
      </c>
      <c r="G1245" s="72"/>
      <c r="H1245" s="49" t="s">
        <v>1038</v>
      </c>
      <c r="I1245" s="49" t="s">
        <v>240</v>
      </c>
      <c r="J1245" s="76">
        <v>142.63000000000011</v>
      </c>
      <c r="K1245" s="83" t="str">
        <f>IFERROR(IFERROR(VLOOKUP(I1245,'DE-PARA'!B:D,3,0),VLOOKUP(I1245,'DE-PARA'!C:D,2,0)),"NÃO ENCONTRADO")</f>
        <v>Rendimentos sobre Aplicações Financeiras</v>
      </c>
      <c r="L1245" s="50" t="str">
        <f>VLOOKUP(K1245,'Base -Receita-Despesa'!$B:$P,1,FALSE)</f>
        <v>Rendimentos sobre Aplicações Financeiras</v>
      </c>
    </row>
    <row r="1246" spans="1:12" ht="15" customHeight="1" x14ac:dyDescent="0.3">
      <c r="A1246" s="82" t="str">
        <f t="shared" si="38"/>
        <v>2016</v>
      </c>
      <c r="B1246" s="72" t="s">
        <v>1039</v>
      </c>
      <c r="C1246" s="73" t="s">
        <v>132</v>
      </c>
      <c r="D1246" s="74" t="str">
        <f t="shared" si="39"/>
        <v>mai/2016</v>
      </c>
      <c r="E1246" s="53">
        <v>42521</v>
      </c>
      <c r="F1246" s="75" t="s">
        <v>239</v>
      </c>
      <c r="G1246" s="72"/>
      <c r="H1246" s="49" t="s">
        <v>1038</v>
      </c>
      <c r="I1246" s="49" t="s">
        <v>240</v>
      </c>
      <c r="J1246" s="76">
        <v>0.36000000000000032</v>
      </c>
      <c r="K1246" s="83" t="str">
        <f>IFERROR(IFERROR(VLOOKUP(I1246,'DE-PARA'!B:D,3,0),VLOOKUP(I1246,'DE-PARA'!C:D,2,0)),"NÃO ENCONTRADO")</f>
        <v>Rendimentos sobre Aplicações Financeiras</v>
      </c>
      <c r="L1246" s="50" t="str">
        <f>VLOOKUP(K1246,'Base -Receita-Despesa'!$B:$P,1,FALSE)</f>
        <v>Rendimentos sobre Aplicações Financeiras</v>
      </c>
    </row>
    <row r="1247" spans="1:12" ht="15" customHeight="1" x14ac:dyDescent="0.3">
      <c r="A1247" s="82" t="str">
        <f t="shared" si="38"/>
        <v>2016</v>
      </c>
      <c r="B1247" s="72" t="s">
        <v>131</v>
      </c>
      <c r="C1247" s="73" t="s">
        <v>132</v>
      </c>
      <c r="D1247" s="74" t="str">
        <f t="shared" si="39"/>
        <v>jun/2016</v>
      </c>
      <c r="E1247" s="53">
        <v>42522</v>
      </c>
      <c r="F1247" s="75" t="s">
        <v>1040</v>
      </c>
      <c r="G1247" s="72"/>
      <c r="H1247" s="49" t="s">
        <v>140</v>
      </c>
      <c r="I1247" s="49" t="s">
        <v>138</v>
      </c>
      <c r="J1247" s="76">
        <v>-561.6</v>
      </c>
      <c r="K1247" s="83" t="str">
        <f>IFERROR(IFERROR(VLOOKUP(I1247,'DE-PARA'!B:D,3,0),VLOOKUP(I1247,'DE-PARA'!C:D,2,0)),"NÃO ENCONTRADO")</f>
        <v>Serviços</v>
      </c>
      <c r="L1247" s="50" t="str">
        <f>VLOOKUP(K1247,'Base -Receita-Despesa'!$B:$P,1,FALSE)</f>
        <v>Serviços</v>
      </c>
    </row>
    <row r="1248" spans="1:12" ht="15" customHeight="1" x14ac:dyDescent="0.3">
      <c r="A1248" s="82" t="str">
        <f t="shared" si="38"/>
        <v>2016</v>
      </c>
      <c r="B1248" s="72" t="s">
        <v>131</v>
      </c>
      <c r="C1248" s="73" t="s">
        <v>132</v>
      </c>
      <c r="D1248" s="74" t="str">
        <f t="shared" si="39"/>
        <v>jun/2016</v>
      </c>
      <c r="E1248" s="53">
        <v>42522</v>
      </c>
      <c r="F1248" s="75" t="s">
        <v>840</v>
      </c>
      <c r="G1248" s="72"/>
      <c r="H1248" s="49" t="s">
        <v>863</v>
      </c>
      <c r="I1248" s="49" t="s">
        <v>129</v>
      </c>
      <c r="J1248" s="76">
        <v>-7.85</v>
      </c>
      <c r="K1248" s="83" t="str">
        <f>IFERROR(IFERROR(VLOOKUP(I1248,'DE-PARA'!B:D,3,0),VLOOKUP(I1248,'DE-PARA'!C:D,2,0)),"NÃO ENCONTRADO")</f>
        <v>Outras Saídas</v>
      </c>
      <c r="L1248" s="50" t="str">
        <f>VLOOKUP(K1248,'Base -Receita-Despesa'!$B:$P,1,FALSE)</f>
        <v>Outras Saídas</v>
      </c>
    </row>
    <row r="1249" spans="1:12" ht="15" customHeight="1" x14ac:dyDescent="0.3">
      <c r="A1249" s="82" t="str">
        <f t="shared" si="38"/>
        <v>2016</v>
      </c>
      <c r="B1249" s="72" t="s">
        <v>131</v>
      </c>
      <c r="C1249" s="73" t="s">
        <v>132</v>
      </c>
      <c r="D1249" s="74" t="str">
        <f t="shared" si="39"/>
        <v>jun/2016</v>
      </c>
      <c r="E1249" s="53">
        <v>42522</v>
      </c>
      <c r="F1249" s="75" t="s">
        <v>840</v>
      </c>
      <c r="G1249" s="72"/>
      <c r="H1249" s="49" t="s">
        <v>863</v>
      </c>
      <c r="I1249" s="49" t="s">
        <v>129</v>
      </c>
      <c r="J1249" s="76">
        <v>-7.85</v>
      </c>
      <c r="K1249" s="83" t="str">
        <f>IFERROR(IFERROR(VLOOKUP(I1249,'DE-PARA'!B:D,3,0),VLOOKUP(I1249,'DE-PARA'!C:D,2,0)),"NÃO ENCONTRADO")</f>
        <v>Outras Saídas</v>
      </c>
      <c r="L1249" s="50" t="str">
        <f>VLOOKUP(K1249,'Base -Receita-Despesa'!$B:$P,1,FALSE)</f>
        <v>Outras Saídas</v>
      </c>
    </row>
    <row r="1250" spans="1:12" ht="15" customHeight="1" x14ac:dyDescent="0.3">
      <c r="A1250" s="82" t="str">
        <f t="shared" si="38"/>
        <v>2016</v>
      </c>
      <c r="B1250" s="72" t="s">
        <v>131</v>
      </c>
      <c r="C1250" s="73" t="s">
        <v>132</v>
      </c>
      <c r="D1250" s="74" t="str">
        <f t="shared" si="39"/>
        <v>jun/2016</v>
      </c>
      <c r="E1250" s="53">
        <v>42522</v>
      </c>
      <c r="F1250" s="75" t="s">
        <v>151</v>
      </c>
      <c r="G1250" s="72"/>
      <c r="H1250" s="49" t="s">
        <v>152</v>
      </c>
      <c r="I1250" s="49" t="s">
        <v>153</v>
      </c>
      <c r="J1250" s="76">
        <v>-2000</v>
      </c>
      <c r="K1250" s="83" t="str">
        <f>IFERROR(IFERROR(VLOOKUP(I1250,'DE-PARA'!B:D,3,0),VLOOKUP(I1250,'DE-PARA'!C:D,2,0)),"NÃO ENCONTRADO")</f>
        <v>Outras Saídas</v>
      </c>
      <c r="L1250" s="50" t="str">
        <f>VLOOKUP(K1250,'Base -Receita-Despesa'!$B:$P,1,FALSE)</f>
        <v>Outras Saídas</v>
      </c>
    </row>
    <row r="1251" spans="1:12" ht="15" customHeight="1" x14ac:dyDescent="0.3">
      <c r="A1251" s="82" t="str">
        <f t="shared" si="38"/>
        <v>2016</v>
      </c>
      <c r="B1251" s="72" t="s">
        <v>131</v>
      </c>
      <c r="C1251" s="73" t="s">
        <v>132</v>
      </c>
      <c r="D1251" s="74" t="str">
        <f t="shared" si="39"/>
        <v>jun/2016</v>
      </c>
      <c r="E1251" s="53">
        <v>42522</v>
      </c>
      <c r="F1251" s="75" t="s">
        <v>1041</v>
      </c>
      <c r="G1251" s="72"/>
      <c r="H1251" s="49" t="s">
        <v>205</v>
      </c>
      <c r="I1251" s="49" t="s">
        <v>206</v>
      </c>
      <c r="J1251" s="76">
        <v>-8500</v>
      </c>
      <c r="K1251" s="83" t="str">
        <f>IFERROR(IFERROR(VLOOKUP(I1251,'DE-PARA'!B:D,3,0),VLOOKUP(I1251,'DE-PARA'!C:D,2,0)),"NÃO ENCONTRADO")</f>
        <v>Serviços</v>
      </c>
      <c r="L1251" s="50" t="str">
        <f>VLOOKUP(K1251,'Base -Receita-Despesa'!$B:$P,1,FALSE)</f>
        <v>Serviços</v>
      </c>
    </row>
    <row r="1252" spans="1:12" ht="15" customHeight="1" x14ac:dyDescent="0.3">
      <c r="A1252" s="82" t="str">
        <f t="shared" si="38"/>
        <v>2016</v>
      </c>
      <c r="B1252" s="72" t="s">
        <v>131</v>
      </c>
      <c r="C1252" s="73" t="s">
        <v>132</v>
      </c>
      <c r="D1252" s="74" t="str">
        <f t="shared" si="39"/>
        <v>jun/2016</v>
      </c>
      <c r="E1252" s="53">
        <v>42522</v>
      </c>
      <c r="F1252" s="75" t="s">
        <v>142</v>
      </c>
      <c r="G1252" s="72"/>
      <c r="H1252" s="49" t="s">
        <v>505</v>
      </c>
      <c r="I1252" s="49" t="s">
        <v>144</v>
      </c>
      <c r="J1252" s="76">
        <v>-1633.77</v>
      </c>
      <c r="K1252" s="83" t="str">
        <f>IFERROR(IFERROR(VLOOKUP(I1252,'DE-PARA'!B:D,3,0),VLOOKUP(I1252,'DE-PARA'!C:D,2,0)),"NÃO ENCONTRADO")</f>
        <v>Concessionárias (água, luz e telefone)</v>
      </c>
      <c r="L1252" s="50" t="str">
        <f>VLOOKUP(K1252,'Base -Receita-Despesa'!$B:$P,1,FALSE)</f>
        <v>Concessionárias (água, luz e telefone)</v>
      </c>
    </row>
    <row r="1253" spans="1:12" ht="15" customHeight="1" x14ac:dyDescent="0.3">
      <c r="A1253" s="82" t="str">
        <f t="shared" si="38"/>
        <v>2016</v>
      </c>
      <c r="B1253" s="72" t="s">
        <v>131</v>
      </c>
      <c r="C1253" s="73" t="s">
        <v>132</v>
      </c>
      <c r="D1253" s="74" t="str">
        <f t="shared" si="39"/>
        <v>jun/2016</v>
      </c>
      <c r="E1253" s="53">
        <v>42522</v>
      </c>
      <c r="F1253" s="75" t="s">
        <v>243</v>
      </c>
      <c r="G1253" s="72"/>
      <c r="H1253" s="49" t="s">
        <v>1042</v>
      </c>
      <c r="I1253" s="49" t="s">
        <v>124</v>
      </c>
      <c r="J1253" s="76">
        <v>-838.96</v>
      </c>
      <c r="K1253" s="83" t="str">
        <f>IFERROR(IFERROR(VLOOKUP(I1253,'DE-PARA'!B:D,3,0),VLOOKUP(I1253,'DE-PARA'!C:D,2,0)),"NÃO ENCONTRADO")</f>
        <v>Rescisões Trabalhistas</v>
      </c>
      <c r="L1253" s="50" t="str">
        <f>VLOOKUP(K1253,'Base -Receita-Despesa'!$B:$P,1,FALSE)</f>
        <v>Rescisões Trabalhistas</v>
      </c>
    </row>
    <row r="1254" spans="1:12" ht="15" customHeight="1" x14ac:dyDescent="0.3">
      <c r="A1254" s="82" t="str">
        <f t="shared" si="38"/>
        <v>2016</v>
      </c>
      <c r="B1254" s="72" t="s">
        <v>131</v>
      </c>
      <c r="C1254" s="73" t="s">
        <v>132</v>
      </c>
      <c r="D1254" s="74" t="str">
        <f t="shared" si="39"/>
        <v>jun/2016</v>
      </c>
      <c r="E1254" s="53">
        <v>42523</v>
      </c>
      <c r="F1254" s="75" t="s">
        <v>492</v>
      </c>
      <c r="G1254" s="72"/>
      <c r="H1254" s="49" t="s">
        <v>187</v>
      </c>
      <c r="I1254" s="49" t="s">
        <v>110</v>
      </c>
      <c r="J1254" s="76">
        <v>-2700</v>
      </c>
      <c r="K1254" s="83" t="str">
        <f>IFERROR(IFERROR(VLOOKUP(I1254,'DE-PARA'!B:D,3,0),VLOOKUP(I1254,'DE-PARA'!C:D,2,0)),"NÃO ENCONTRADO")</f>
        <v>Serviços</v>
      </c>
      <c r="L1254" s="50" t="str">
        <f>VLOOKUP(K1254,'Base -Receita-Despesa'!$B:$P,1,FALSE)</f>
        <v>Serviços</v>
      </c>
    </row>
    <row r="1255" spans="1:12" ht="15" customHeight="1" x14ac:dyDescent="0.3">
      <c r="A1255" s="82" t="str">
        <f t="shared" si="38"/>
        <v>2016</v>
      </c>
      <c r="B1255" s="72" t="s">
        <v>131</v>
      </c>
      <c r="C1255" s="73" t="s">
        <v>132</v>
      </c>
      <c r="D1255" s="74" t="str">
        <f t="shared" si="39"/>
        <v>jun/2016</v>
      </c>
      <c r="E1255" s="53">
        <v>42523</v>
      </c>
      <c r="F1255" s="75" t="s">
        <v>1043</v>
      </c>
      <c r="G1255" s="72"/>
      <c r="H1255" s="49" t="s">
        <v>368</v>
      </c>
      <c r="I1255" s="49" t="s">
        <v>159</v>
      </c>
      <c r="J1255" s="76">
        <v>-573</v>
      </c>
      <c r="K1255" s="83" t="str">
        <f>IFERROR(IFERROR(VLOOKUP(I1255,'DE-PARA'!B:D,3,0),VLOOKUP(I1255,'DE-PARA'!C:D,2,0)),"NÃO ENCONTRADO")</f>
        <v>Materiais</v>
      </c>
      <c r="L1255" s="50" t="str">
        <f>VLOOKUP(K1255,'Base -Receita-Despesa'!$B:$P,1,FALSE)</f>
        <v>Materiais</v>
      </c>
    </row>
    <row r="1256" spans="1:12" ht="15" customHeight="1" x14ac:dyDescent="0.3">
      <c r="A1256" s="82" t="str">
        <f t="shared" si="38"/>
        <v>2016</v>
      </c>
      <c r="B1256" s="72" t="s">
        <v>131</v>
      </c>
      <c r="C1256" s="73" t="s">
        <v>132</v>
      </c>
      <c r="D1256" s="74" t="str">
        <f t="shared" si="39"/>
        <v>jun/2016</v>
      </c>
      <c r="E1256" s="53">
        <v>42523</v>
      </c>
      <c r="F1256" s="75" t="s">
        <v>840</v>
      </c>
      <c r="G1256" s="72"/>
      <c r="H1256" s="49" t="s">
        <v>863</v>
      </c>
      <c r="I1256" s="49" t="s">
        <v>129</v>
      </c>
      <c r="J1256" s="76">
        <v>-7.85</v>
      </c>
      <c r="K1256" s="83" t="str">
        <f>IFERROR(IFERROR(VLOOKUP(I1256,'DE-PARA'!B:D,3,0),VLOOKUP(I1256,'DE-PARA'!C:D,2,0)),"NÃO ENCONTRADO")</f>
        <v>Outras Saídas</v>
      </c>
      <c r="L1256" s="50" t="str">
        <f>VLOOKUP(K1256,'Base -Receita-Despesa'!$B:$P,1,FALSE)</f>
        <v>Outras Saídas</v>
      </c>
    </row>
    <row r="1257" spans="1:12" ht="15" customHeight="1" x14ac:dyDescent="0.3">
      <c r="A1257" s="82" t="str">
        <f t="shared" si="38"/>
        <v>2016</v>
      </c>
      <c r="B1257" s="72" t="s">
        <v>131</v>
      </c>
      <c r="C1257" s="73" t="s">
        <v>132</v>
      </c>
      <c r="D1257" s="74" t="str">
        <f t="shared" si="39"/>
        <v>jun/2016</v>
      </c>
      <c r="E1257" s="53">
        <v>42523</v>
      </c>
      <c r="F1257" s="75" t="s">
        <v>199</v>
      </c>
      <c r="G1257" s="72"/>
      <c r="H1257" s="49" t="s">
        <v>383</v>
      </c>
      <c r="I1257" s="49" t="s">
        <v>192</v>
      </c>
      <c r="J1257" s="76">
        <v>-1301.73</v>
      </c>
      <c r="K1257" s="83" t="str">
        <f>IFERROR(IFERROR(VLOOKUP(I1257,'DE-PARA'!B:D,3,0),VLOOKUP(I1257,'DE-PARA'!C:D,2,0)),"NÃO ENCONTRADO")</f>
        <v>Materiais</v>
      </c>
      <c r="L1257" s="50" t="str">
        <f>VLOOKUP(K1257,'Base -Receita-Despesa'!$B:$P,1,FALSE)</f>
        <v>Materiais</v>
      </c>
    </row>
    <row r="1258" spans="1:12" ht="15" customHeight="1" x14ac:dyDescent="0.3">
      <c r="A1258" s="82" t="str">
        <f t="shared" si="38"/>
        <v>2016</v>
      </c>
      <c r="B1258" s="72" t="s">
        <v>131</v>
      </c>
      <c r="C1258" s="73" t="s">
        <v>132</v>
      </c>
      <c r="D1258" s="74" t="str">
        <f t="shared" si="39"/>
        <v>jun/2016</v>
      </c>
      <c r="E1258" s="53">
        <v>42523</v>
      </c>
      <c r="F1258" s="75" t="s">
        <v>199</v>
      </c>
      <c r="G1258" s="72"/>
      <c r="H1258" s="49" t="s">
        <v>383</v>
      </c>
      <c r="I1258" s="49" t="s">
        <v>192</v>
      </c>
      <c r="J1258" s="76">
        <v>-312.83</v>
      </c>
      <c r="K1258" s="83" t="str">
        <f>IFERROR(IFERROR(VLOOKUP(I1258,'DE-PARA'!B:D,3,0),VLOOKUP(I1258,'DE-PARA'!C:D,2,0)),"NÃO ENCONTRADO")</f>
        <v>Materiais</v>
      </c>
      <c r="L1258" s="50" t="str">
        <f>VLOOKUP(K1258,'Base -Receita-Despesa'!$B:$P,1,FALSE)</f>
        <v>Materiais</v>
      </c>
    </row>
    <row r="1259" spans="1:12" ht="15" customHeight="1" x14ac:dyDescent="0.3">
      <c r="A1259" s="82" t="str">
        <f t="shared" si="38"/>
        <v>2016</v>
      </c>
      <c r="B1259" s="72" t="s">
        <v>131</v>
      </c>
      <c r="C1259" s="73" t="s">
        <v>132</v>
      </c>
      <c r="D1259" s="74" t="str">
        <f t="shared" si="39"/>
        <v>jun/2016</v>
      </c>
      <c r="E1259" s="53">
        <v>42524</v>
      </c>
      <c r="F1259" s="75" t="s">
        <v>1045</v>
      </c>
      <c r="G1259" s="72"/>
      <c r="H1259" s="49" t="s">
        <v>1046</v>
      </c>
      <c r="I1259" s="49" t="s">
        <v>121</v>
      </c>
      <c r="J1259" s="76">
        <v>37677.68</v>
      </c>
      <c r="K1259" s="83" t="s">
        <v>93</v>
      </c>
      <c r="L1259" s="50" t="str">
        <f>VLOOKUP(K1259,'Base -Receita-Despesa'!$B:$P,1,FALSE)</f>
        <v>Transferências da c/c para c/a ou c/p (-)</v>
      </c>
    </row>
    <row r="1260" spans="1:12" ht="15" customHeight="1" x14ac:dyDescent="0.3">
      <c r="A1260" s="82" t="str">
        <f t="shared" si="38"/>
        <v>2016</v>
      </c>
      <c r="B1260" s="72" t="s">
        <v>131</v>
      </c>
      <c r="C1260" s="73" t="s">
        <v>132</v>
      </c>
      <c r="D1260" s="74" t="str">
        <f t="shared" si="39"/>
        <v>jun/2016</v>
      </c>
      <c r="E1260" s="53">
        <v>42524</v>
      </c>
      <c r="F1260" s="75" t="s">
        <v>1047</v>
      </c>
      <c r="G1260" s="72"/>
      <c r="H1260" s="49" t="s">
        <v>152</v>
      </c>
      <c r="I1260" s="49" t="s">
        <v>153</v>
      </c>
      <c r="J1260" s="76">
        <v>18.8</v>
      </c>
      <c r="K1260" s="83" t="str">
        <f>IFERROR(IFERROR(VLOOKUP(I1260,'DE-PARA'!B:D,3,0),VLOOKUP(I1260,'DE-PARA'!C:D,2,0)),"NÃO ENCONTRADO")</f>
        <v>Outras Saídas</v>
      </c>
      <c r="L1260" s="50" t="str">
        <f>VLOOKUP(K1260,'Base -Receita-Despesa'!$B:$P,1,FALSE)</f>
        <v>Outras Saídas</v>
      </c>
    </row>
    <row r="1261" spans="1:12" ht="15" customHeight="1" x14ac:dyDescent="0.3">
      <c r="A1261" s="82" t="str">
        <f t="shared" si="38"/>
        <v>2016</v>
      </c>
      <c r="B1261" s="72" t="s">
        <v>249</v>
      </c>
      <c r="C1261" s="73" t="s">
        <v>132</v>
      </c>
      <c r="D1261" s="74" t="str">
        <f t="shared" si="39"/>
        <v>jun/2016</v>
      </c>
      <c r="E1261" s="53">
        <v>42524</v>
      </c>
      <c r="F1261" s="75" t="s">
        <v>154</v>
      </c>
      <c r="G1261" s="72"/>
      <c r="H1261" s="49" t="s">
        <v>154</v>
      </c>
      <c r="I1261" s="49" t="s">
        <v>1497</v>
      </c>
      <c r="J1261" s="76">
        <v>37677.68</v>
      </c>
      <c r="K1261" s="83" t="str">
        <f>IFERROR(IFERROR(VLOOKUP(I1261,'DE-PARA'!B:D,3,0),VLOOKUP(I1261,'DE-PARA'!C:D,2,0)),"NÃO ENCONTRADO")</f>
        <v>Repasses Contrato de Gestão</v>
      </c>
      <c r="L1261" s="50" t="str">
        <f>VLOOKUP(K1261,'Base -Receita-Despesa'!$B:$P,1,FALSE)</f>
        <v>Repasses Contrato de Gestão</v>
      </c>
    </row>
    <row r="1262" spans="1:12" ht="15" customHeight="1" x14ac:dyDescent="0.3">
      <c r="A1262" s="82" t="str">
        <f t="shared" si="38"/>
        <v>2016</v>
      </c>
      <c r="B1262" s="72" t="s">
        <v>249</v>
      </c>
      <c r="C1262" s="73" t="s">
        <v>132</v>
      </c>
      <c r="D1262" s="74" t="str">
        <f t="shared" si="39"/>
        <v>jun/2016</v>
      </c>
      <c r="E1262" s="53">
        <v>42524</v>
      </c>
      <c r="F1262" s="75" t="s">
        <v>1045</v>
      </c>
      <c r="G1262" s="72"/>
      <c r="H1262" s="49" t="s">
        <v>1243</v>
      </c>
      <c r="I1262" s="49" t="s">
        <v>121</v>
      </c>
      <c r="J1262" s="76">
        <v>-37677.68</v>
      </c>
      <c r="K1262" s="83" t="s">
        <v>93</v>
      </c>
      <c r="L1262" s="50" t="str">
        <f>VLOOKUP(K1262,'Base -Receita-Despesa'!$B:$P,1,FALSE)</f>
        <v>Transferências da c/c para c/a ou c/p (-)</v>
      </c>
    </row>
    <row r="1263" spans="1:12" ht="15" customHeight="1" x14ac:dyDescent="0.3">
      <c r="A1263" s="82" t="str">
        <f t="shared" si="38"/>
        <v>2016</v>
      </c>
      <c r="B1263" s="72" t="s">
        <v>131</v>
      </c>
      <c r="C1263" s="73" t="s">
        <v>132</v>
      </c>
      <c r="D1263" s="74" t="str">
        <f t="shared" si="39"/>
        <v>jun/2016</v>
      </c>
      <c r="E1263" s="53">
        <v>42527</v>
      </c>
      <c r="F1263" s="75" t="s">
        <v>594</v>
      </c>
      <c r="G1263" s="72"/>
      <c r="H1263" s="49" t="s">
        <v>594</v>
      </c>
      <c r="I1263" s="49" t="s">
        <v>1048</v>
      </c>
      <c r="J1263" s="76">
        <v>-260000</v>
      </c>
      <c r="K1263" s="83" t="str">
        <f>IFERROR(IFERROR(VLOOKUP(I1263,'DE-PARA'!B:D,3,0),VLOOKUP(I1263,'DE-PARA'!C:D,2,0)),"NÃO ENCONTRADO")</f>
        <v>Saídas Da C/A Por Regates (-)</v>
      </c>
      <c r="L1263" s="50" t="str">
        <f>VLOOKUP(K1263,'Base -Receita-Despesa'!$B:$P,1,FALSE)</f>
        <v>SAÍDAS DA C/A POR REGATES (-)</v>
      </c>
    </row>
    <row r="1264" spans="1:12" ht="15" customHeight="1" x14ac:dyDescent="0.3">
      <c r="A1264" s="82" t="str">
        <f t="shared" si="38"/>
        <v>2016</v>
      </c>
      <c r="B1264" s="72" t="s">
        <v>131</v>
      </c>
      <c r="C1264" s="73" t="s">
        <v>132</v>
      </c>
      <c r="D1264" s="74" t="str">
        <f t="shared" si="39"/>
        <v>jun/2016</v>
      </c>
      <c r="E1264" s="53">
        <v>42527</v>
      </c>
      <c r="F1264" s="75" t="s">
        <v>1047</v>
      </c>
      <c r="G1264" s="72"/>
      <c r="H1264" s="49" t="s">
        <v>152</v>
      </c>
      <c r="I1264" s="49" t="s">
        <v>153</v>
      </c>
      <c r="J1264" s="76">
        <v>3.28</v>
      </c>
      <c r="K1264" s="83" t="str">
        <f>IFERROR(IFERROR(VLOOKUP(I1264,'DE-PARA'!B:D,3,0),VLOOKUP(I1264,'DE-PARA'!C:D,2,0)),"NÃO ENCONTRADO")</f>
        <v>Outras Saídas</v>
      </c>
      <c r="L1264" s="50" t="str">
        <f>VLOOKUP(K1264,'Base -Receita-Despesa'!$B:$P,1,FALSE)</f>
        <v>Outras Saídas</v>
      </c>
    </row>
    <row r="1265" spans="1:12" ht="15" customHeight="1" x14ac:dyDescent="0.3">
      <c r="A1265" s="82" t="str">
        <f t="shared" si="38"/>
        <v>2016</v>
      </c>
      <c r="B1265" s="72" t="s">
        <v>131</v>
      </c>
      <c r="C1265" s="73" t="s">
        <v>132</v>
      </c>
      <c r="D1265" s="74" t="str">
        <f t="shared" si="39"/>
        <v>jun/2016</v>
      </c>
      <c r="E1265" s="53">
        <v>42527</v>
      </c>
      <c r="F1265" s="75" t="s">
        <v>1049</v>
      </c>
      <c r="G1265" s="72"/>
      <c r="H1265" s="49" t="s">
        <v>1050</v>
      </c>
      <c r="I1265" s="49" t="s">
        <v>529</v>
      </c>
      <c r="J1265" s="76">
        <v>-177</v>
      </c>
      <c r="K1265" s="83" t="str">
        <f>IFERROR(IFERROR(VLOOKUP(I1265,'DE-PARA'!B:D,3,0),VLOOKUP(I1265,'DE-PARA'!C:D,2,0)),"NÃO ENCONTRADO")</f>
        <v>Tributos, Taxas e Contribuições</v>
      </c>
      <c r="L1265" s="50" t="str">
        <f>VLOOKUP(K1265,'Base -Receita-Despesa'!$B:$P,1,FALSE)</f>
        <v>Tributos, Taxas e Contribuições</v>
      </c>
    </row>
    <row r="1266" spans="1:12" ht="15" customHeight="1" x14ac:dyDescent="0.3">
      <c r="A1266" s="82" t="str">
        <f t="shared" si="38"/>
        <v>2016</v>
      </c>
      <c r="B1266" s="72" t="s">
        <v>131</v>
      </c>
      <c r="C1266" s="73" t="s">
        <v>132</v>
      </c>
      <c r="D1266" s="74" t="str">
        <f t="shared" si="39"/>
        <v>jun/2016</v>
      </c>
      <c r="E1266" s="53">
        <v>42527</v>
      </c>
      <c r="F1266" s="75" t="s">
        <v>1051</v>
      </c>
      <c r="G1266" s="72"/>
      <c r="H1266" s="49" t="s">
        <v>141</v>
      </c>
      <c r="I1266" s="49" t="s">
        <v>111</v>
      </c>
      <c r="J1266" s="76">
        <v>-1781</v>
      </c>
      <c r="K1266" s="83" t="str">
        <f>IFERROR(IFERROR(VLOOKUP(I1266,'DE-PARA'!B:D,3,0),VLOOKUP(I1266,'DE-PARA'!C:D,2,0)),"NÃO ENCONTRADO")</f>
        <v>Serviços</v>
      </c>
      <c r="L1266" s="50" t="str">
        <f>VLOOKUP(K1266,'Base -Receita-Despesa'!$B:$P,1,FALSE)</f>
        <v>Serviços</v>
      </c>
    </row>
    <row r="1267" spans="1:12" ht="15" customHeight="1" x14ac:dyDescent="0.3">
      <c r="A1267" s="82" t="str">
        <f t="shared" si="38"/>
        <v>2016</v>
      </c>
      <c r="B1267" s="72" t="s">
        <v>131</v>
      </c>
      <c r="C1267" s="73" t="s">
        <v>132</v>
      </c>
      <c r="D1267" s="74" t="str">
        <f t="shared" si="39"/>
        <v>jun/2016</v>
      </c>
      <c r="E1267" s="53">
        <v>42527</v>
      </c>
      <c r="F1267" s="75" t="s">
        <v>1052</v>
      </c>
      <c r="G1267" s="72"/>
      <c r="H1267" s="49" t="s">
        <v>141</v>
      </c>
      <c r="I1267" s="49" t="s">
        <v>111</v>
      </c>
      <c r="J1267" s="76">
        <v>-10089</v>
      </c>
      <c r="K1267" s="83" t="str">
        <f>IFERROR(IFERROR(VLOOKUP(I1267,'DE-PARA'!B:D,3,0),VLOOKUP(I1267,'DE-PARA'!C:D,2,0)),"NÃO ENCONTRADO")</f>
        <v>Serviços</v>
      </c>
      <c r="L1267" s="50" t="str">
        <f>VLOOKUP(K1267,'Base -Receita-Despesa'!$B:$P,1,FALSE)</f>
        <v>Serviços</v>
      </c>
    </row>
    <row r="1268" spans="1:12" ht="15" customHeight="1" x14ac:dyDescent="0.3">
      <c r="A1268" s="82" t="str">
        <f t="shared" si="38"/>
        <v>2016</v>
      </c>
      <c r="B1268" s="72" t="s">
        <v>131</v>
      </c>
      <c r="C1268" s="73" t="s">
        <v>132</v>
      </c>
      <c r="D1268" s="74" t="str">
        <f t="shared" si="39"/>
        <v>jun/2016</v>
      </c>
      <c r="E1268" s="53">
        <v>42527</v>
      </c>
      <c r="F1268" s="75" t="s">
        <v>1053</v>
      </c>
      <c r="G1268" s="72"/>
      <c r="H1268" s="49" t="s">
        <v>246</v>
      </c>
      <c r="I1268" s="49" t="s">
        <v>138</v>
      </c>
      <c r="J1268" s="76">
        <v>-435.66</v>
      </c>
      <c r="K1268" s="83" t="str">
        <f>IFERROR(IFERROR(VLOOKUP(I1268,'DE-PARA'!B:D,3,0),VLOOKUP(I1268,'DE-PARA'!C:D,2,0)),"NÃO ENCONTRADO")</f>
        <v>Serviços</v>
      </c>
      <c r="L1268" s="50" t="str">
        <f>VLOOKUP(K1268,'Base -Receita-Despesa'!$B:$P,1,FALSE)</f>
        <v>Serviços</v>
      </c>
    </row>
    <row r="1269" spans="1:12" ht="15" customHeight="1" x14ac:dyDescent="0.3">
      <c r="A1269" s="82" t="str">
        <f t="shared" si="38"/>
        <v>2016</v>
      </c>
      <c r="B1269" s="72" t="s">
        <v>131</v>
      </c>
      <c r="C1269" s="73" t="s">
        <v>132</v>
      </c>
      <c r="D1269" s="74" t="str">
        <f t="shared" si="39"/>
        <v>jun/2016</v>
      </c>
      <c r="E1269" s="53">
        <v>42527</v>
      </c>
      <c r="F1269" s="75" t="s">
        <v>1054</v>
      </c>
      <c r="G1269" s="72"/>
      <c r="H1269" s="49" t="s">
        <v>1055</v>
      </c>
      <c r="I1269" s="49" t="s">
        <v>1056</v>
      </c>
      <c r="J1269" s="76">
        <v>10270.59</v>
      </c>
      <c r="K1269" s="83" t="str">
        <f>IFERROR(IFERROR(VLOOKUP(I1269,'DE-PARA'!B:D,3,0),VLOOKUP(I1269,'DE-PARA'!C:D,2,0)),"NÃO ENCONTRADO")</f>
        <v>ENTRADA CONTA APLICAÇÃO (+)</v>
      </c>
      <c r="L1269" s="50" t="str">
        <f>VLOOKUP(K1269,'Base -Receita-Despesa'!$B:$P,1,FALSE)</f>
        <v>ENTRADA CONTA APLICAÇÃO (+)</v>
      </c>
    </row>
    <row r="1270" spans="1:12" ht="15" customHeight="1" x14ac:dyDescent="0.3">
      <c r="A1270" s="82" t="str">
        <f t="shared" si="38"/>
        <v>2016</v>
      </c>
      <c r="B1270" s="72" t="s">
        <v>131</v>
      </c>
      <c r="C1270" s="73" t="s">
        <v>132</v>
      </c>
      <c r="D1270" s="74" t="str">
        <f t="shared" si="39"/>
        <v>jun/2016</v>
      </c>
      <c r="E1270" s="53">
        <v>42528</v>
      </c>
      <c r="F1270" s="75" t="s">
        <v>133</v>
      </c>
      <c r="G1270" s="72"/>
      <c r="H1270" s="49" t="s">
        <v>1057</v>
      </c>
      <c r="I1270" s="49" t="s">
        <v>135</v>
      </c>
      <c r="J1270" s="76">
        <v>-1349.64</v>
      </c>
      <c r="K1270" s="83" t="str">
        <f>IFERROR(IFERROR(VLOOKUP(I1270,'DE-PARA'!B:D,3,0),VLOOKUP(I1270,'DE-PARA'!C:D,2,0)),"NÃO ENCONTRADO")</f>
        <v>Pessoal</v>
      </c>
      <c r="L1270" s="50" t="str">
        <f>VLOOKUP(K1270,'Base -Receita-Despesa'!$B:$P,1,FALSE)</f>
        <v>Pessoal</v>
      </c>
    </row>
    <row r="1271" spans="1:12" ht="15" customHeight="1" x14ac:dyDescent="0.3">
      <c r="A1271" s="82" t="str">
        <f t="shared" si="38"/>
        <v>2016</v>
      </c>
      <c r="B1271" s="72" t="s">
        <v>131</v>
      </c>
      <c r="C1271" s="73" t="s">
        <v>132</v>
      </c>
      <c r="D1271" s="74" t="str">
        <f t="shared" si="39"/>
        <v>jun/2016</v>
      </c>
      <c r="E1271" s="53">
        <v>42528</v>
      </c>
      <c r="F1271" s="75" t="s">
        <v>133</v>
      </c>
      <c r="G1271" s="72"/>
      <c r="H1271" s="49" t="s">
        <v>253</v>
      </c>
      <c r="I1271" s="49" t="s">
        <v>135</v>
      </c>
      <c r="J1271" s="76">
        <v>-2519.1999999999998</v>
      </c>
      <c r="K1271" s="83" t="str">
        <f>IFERROR(IFERROR(VLOOKUP(I1271,'DE-PARA'!B:D,3,0),VLOOKUP(I1271,'DE-PARA'!C:D,2,0)),"NÃO ENCONTRADO")</f>
        <v>Pessoal</v>
      </c>
      <c r="L1271" s="50" t="str">
        <f>VLOOKUP(K1271,'Base -Receita-Despesa'!$B:$P,1,FALSE)</f>
        <v>Pessoal</v>
      </c>
    </row>
    <row r="1272" spans="1:12" ht="15" customHeight="1" x14ac:dyDescent="0.3">
      <c r="A1272" s="82" t="str">
        <f t="shared" si="38"/>
        <v>2016</v>
      </c>
      <c r="B1272" s="72" t="s">
        <v>131</v>
      </c>
      <c r="C1272" s="73" t="s">
        <v>132</v>
      </c>
      <c r="D1272" s="74" t="str">
        <f t="shared" si="39"/>
        <v>jun/2016</v>
      </c>
      <c r="E1272" s="53">
        <v>42528</v>
      </c>
      <c r="F1272" s="75" t="s">
        <v>133</v>
      </c>
      <c r="G1272" s="72"/>
      <c r="H1272" s="49" t="s">
        <v>1058</v>
      </c>
      <c r="I1272" s="49" t="s">
        <v>135</v>
      </c>
      <c r="J1272" s="76">
        <v>-1349.65</v>
      </c>
      <c r="K1272" s="83" t="str">
        <f>IFERROR(IFERROR(VLOOKUP(I1272,'DE-PARA'!B:D,3,0),VLOOKUP(I1272,'DE-PARA'!C:D,2,0)),"NÃO ENCONTRADO")</f>
        <v>Pessoal</v>
      </c>
      <c r="L1272" s="50" t="str">
        <f>VLOOKUP(K1272,'Base -Receita-Despesa'!$B:$P,1,FALSE)</f>
        <v>Pessoal</v>
      </c>
    </row>
    <row r="1273" spans="1:12" ht="15" customHeight="1" x14ac:dyDescent="0.3">
      <c r="A1273" s="82" t="str">
        <f t="shared" si="38"/>
        <v>2016</v>
      </c>
      <c r="B1273" s="72" t="s">
        <v>131</v>
      </c>
      <c r="C1273" s="73" t="s">
        <v>132</v>
      </c>
      <c r="D1273" s="74" t="str">
        <f t="shared" si="39"/>
        <v>jun/2016</v>
      </c>
      <c r="E1273" s="53">
        <v>42528</v>
      </c>
      <c r="F1273" s="75" t="s">
        <v>133</v>
      </c>
      <c r="G1273" s="72"/>
      <c r="H1273" s="49" t="s">
        <v>853</v>
      </c>
      <c r="I1273" s="49" t="s">
        <v>135</v>
      </c>
      <c r="J1273" s="76">
        <v>-1472.58</v>
      </c>
      <c r="K1273" s="83" t="str">
        <f>IFERROR(IFERROR(VLOOKUP(I1273,'DE-PARA'!B:D,3,0),VLOOKUP(I1273,'DE-PARA'!C:D,2,0)),"NÃO ENCONTRADO")</f>
        <v>Pessoal</v>
      </c>
      <c r="L1273" s="50" t="str">
        <f>VLOOKUP(K1273,'Base -Receita-Despesa'!$B:$P,1,FALSE)</f>
        <v>Pessoal</v>
      </c>
    </row>
    <row r="1274" spans="1:12" ht="15" customHeight="1" x14ac:dyDescent="0.3">
      <c r="A1274" s="82" t="str">
        <f t="shared" si="38"/>
        <v>2016</v>
      </c>
      <c r="B1274" s="72" t="s">
        <v>131</v>
      </c>
      <c r="C1274" s="73" t="s">
        <v>132</v>
      </c>
      <c r="D1274" s="74" t="str">
        <f t="shared" si="39"/>
        <v>jun/2016</v>
      </c>
      <c r="E1274" s="53">
        <v>42528</v>
      </c>
      <c r="F1274" s="75" t="s">
        <v>133</v>
      </c>
      <c r="G1274" s="72"/>
      <c r="H1274" s="49" t="s">
        <v>538</v>
      </c>
      <c r="I1274" s="49" t="s">
        <v>135</v>
      </c>
      <c r="J1274" s="76">
        <v>-1968.92</v>
      </c>
      <c r="K1274" s="83" t="str">
        <f>IFERROR(IFERROR(VLOOKUP(I1274,'DE-PARA'!B:D,3,0),VLOOKUP(I1274,'DE-PARA'!C:D,2,0)),"NÃO ENCONTRADO")</f>
        <v>Pessoal</v>
      </c>
      <c r="L1274" s="50" t="str">
        <f>VLOOKUP(K1274,'Base -Receita-Despesa'!$B:$P,1,FALSE)</f>
        <v>Pessoal</v>
      </c>
    </row>
    <row r="1275" spans="1:12" ht="15" customHeight="1" x14ac:dyDescent="0.3">
      <c r="A1275" s="82" t="str">
        <f t="shared" si="38"/>
        <v>2016</v>
      </c>
      <c r="B1275" s="72" t="s">
        <v>131</v>
      </c>
      <c r="C1275" s="73" t="s">
        <v>132</v>
      </c>
      <c r="D1275" s="74" t="str">
        <f t="shared" si="39"/>
        <v>jun/2016</v>
      </c>
      <c r="E1275" s="53">
        <v>42528</v>
      </c>
      <c r="F1275" s="75" t="s">
        <v>133</v>
      </c>
      <c r="G1275" s="72"/>
      <c r="H1275" s="49" t="s">
        <v>1059</v>
      </c>
      <c r="I1275" s="49" t="s">
        <v>135</v>
      </c>
      <c r="J1275" s="76">
        <v>-1407.32</v>
      </c>
      <c r="K1275" s="83" t="str">
        <f>IFERROR(IFERROR(VLOOKUP(I1275,'DE-PARA'!B:D,3,0),VLOOKUP(I1275,'DE-PARA'!C:D,2,0)),"NÃO ENCONTRADO")</f>
        <v>Pessoal</v>
      </c>
      <c r="L1275" s="50" t="str">
        <f>VLOOKUP(K1275,'Base -Receita-Despesa'!$B:$P,1,FALSE)</f>
        <v>Pessoal</v>
      </c>
    </row>
    <row r="1276" spans="1:12" ht="15" customHeight="1" x14ac:dyDescent="0.3">
      <c r="A1276" s="82" t="str">
        <f t="shared" si="38"/>
        <v>2016</v>
      </c>
      <c r="B1276" s="72" t="s">
        <v>131</v>
      </c>
      <c r="C1276" s="73" t="s">
        <v>132</v>
      </c>
      <c r="D1276" s="74" t="str">
        <f t="shared" si="39"/>
        <v>jun/2016</v>
      </c>
      <c r="E1276" s="53">
        <v>42528</v>
      </c>
      <c r="F1276" s="75" t="s">
        <v>133</v>
      </c>
      <c r="G1276" s="72"/>
      <c r="H1276" s="49" t="s">
        <v>321</v>
      </c>
      <c r="I1276" s="49" t="s">
        <v>135</v>
      </c>
      <c r="J1276" s="76">
        <v>-2068.81</v>
      </c>
      <c r="K1276" s="83" t="str">
        <f>IFERROR(IFERROR(VLOOKUP(I1276,'DE-PARA'!B:D,3,0),VLOOKUP(I1276,'DE-PARA'!C:D,2,0)),"NÃO ENCONTRADO")</f>
        <v>Pessoal</v>
      </c>
      <c r="L1276" s="50" t="str">
        <f>VLOOKUP(K1276,'Base -Receita-Despesa'!$B:$P,1,FALSE)</f>
        <v>Pessoal</v>
      </c>
    </row>
    <row r="1277" spans="1:12" ht="15" customHeight="1" x14ac:dyDescent="0.3">
      <c r="A1277" s="82" t="str">
        <f t="shared" si="38"/>
        <v>2016</v>
      </c>
      <c r="B1277" s="72" t="s">
        <v>131</v>
      </c>
      <c r="C1277" s="73" t="s">
        <v>132</v>
      </c>
      <c r="D1277" s="74" t="str">
        <f t="shared" si="39"/>
        <v>jun/2016</v>
      </c>
      <c r="E1277" s="53">
        <v>42528</v>
      </c>
      <c r="F1277" s="75" t="s">
        <v>133</v>
      </c>
      <c r="G1277" s="72"/>
      <c r="H1277" s="49" t="s">
        <v>365</v>
      </c>
      <c r="I1277" s="49" t="s">
        <v>135</v>
      </c>
      <c r="J1277" s="76">
        <v>-5946.3</v>
      </c>
      <c r="K1277" s="83" t="str">
        <f>IFERROR(IFERROR(VLOOKUP(I1277,'DE-PARA'!B:D,3,0),VLOOKUP(I1277,'DE-PARA'!C:D,2,0)),"NÃO ENCONTRADO")</f>
        <v>Pessoal</v>
      </c>
      <c r="L1277" s="50" t="str">
        <f>VLOOKUP(K1277,'Base -Receita-Despesa'!$B:$P,1,FALSE)</f>
        <v>Pessoal</v>
      </c>
    </row>
    <row r="1278" spans="1:12" ht="15" customHeight="1" x14ac:dyDescent="0.3">
      <c r="A1278" s="82" t="str">
        <f t="shared" si="38"/>
        <v>2016</v>
      </c>
      <c r="B1278" s="72" t="s">
        <v>131</v>
      </c>
      <c r="C1278" s="73" t="s">
        <v>132</v>
      </c>
      <c r="D1278" s="74" t="str">
        <f t="shared" si="39"/>
        <v>jun/2016</v>
      </c>
      <c r="E1278" s="53">
        <v>42528</v>
      </c>
      <c r="F1278" s="75" t="s">
        <v>133</v>
      </c>
      <c r="G1278" s="72"/>
      <c r="H1278" s="49" t="s">
        <v>1060</v>
      </c>
      <c r="I1278" s="49" t="s">
        <v>135</v>
      </c>
      <c r="J1278" s="76">
        <v>-3980.88</v>
      </c>
      <c r="K1278" s="83" t="str">
        <f>IFERROR(IFERROR(VLOOKUP(I1278,'DE-PARA'!B:D,3,0),VLOOKUP(I1278,'DE-PARA'!C:D,2,0)),"NÃO ENCONTRADO")</f>
        <v>Pessoal</v>
      </c>
      <c r="L1278" s="50" t="str">
        <f>VLOOKUP(K1278,'Base -Receita-Despesa'!$B:$P,1,FALSE)</f>
        <v>Pessoal</v>
      </c>
    </row>
    <row r="1279" spans="1:12" ht="15" customHeight="1" x14ac:dyDescent="0.3">
      <c r="A1279" s="82" t="str">
        <f t="shared" si="38"/>
        <v>2016</v>
      </c>
      <c r="B1279" s="72" t="s">
        <v>131</v>
      </c>
      <c r="C1279" s="73" t="s">
        <v>132</v>
      </c>
      <c r="D1279" s="74" t="str">
        <f t="shared" si="39"/>
        <v>jun/2016</v>
      </c>
      <c r="E1279" s="53">
        <v>42528</v>
      </c>
      <c r="F1279" s="75" t="s">
        <v>133</v>
      </c>
      <c r="G1279" s="72"/>
      <c r="H1279" s="49" t="s">
        <v>1061</v>
      </c>
      <c r="I1279" s="49" t="s">
        <v>135</v>
      </c>
      <c r="J1279" s="76">
        <v>-1349.65</v>
      </c>
      <c r="K1279" s="83" t="str">
        <f>IFERROR(IFERROR(VLOOKUP(I1279,'DE-PARA'!B:D,3,0),VLOOKUP(I1279,'DE-PARA'!C:D,2,0)),"NÃO ENCONTRADO")</f>
        <v>Pessoal</v>
      </c>
      <c r="L1279" s="50" t="str">
        <f>VLOOKUP(K1279,'Base -Receita-Despesa'!$B:$P,1,FALSE)</f>
        <v>Pessoal</v>
      </c>
    </row>
    <row r="1280" spans="1:12" ht="15" customHeight="1" x14ac:dyDescent="0.3">
      <c r="A1280" s="82" t="str">
        <f t="shared" si="38"/>
        <v>2016</v>
      </c>
      <c r="B1280" s="72" t="s">
        <v>131</v>
      </c>
      <c r="C1280" s="73" t="s">
        <v>132</v>
      </c>
      <c r="D1280" s="74" t="str">
        <f t="shared" si="39"/>
        <v>jun/2016</v>
      </c>
      <c r="E1280" s="53">
        <v>42528</v>
      </c>
      <c r="F1280" s="75" t="s">
        <v>133</v>
      </c>
      <c r="G1280" s="72"/>
      <c r="H1280" s="49" t="s">
        <v>1062</v>
      </c>
      <c r="I1280" s="49" t="s">
        <v>135</v>
      </c>
      <c r="J1280" s="76">
        <v>-2135.3000000000002</v>
      </c>
      <c r="K1280" s="83" t="str">
        <f>IFERROR(IFERROR(VLOOKUP(I1280,'DE-PARA'!B:D,3,0),VLOOKUP(I1280,'DE-PARA'!C:D,2,0)),"NÃO ENCONTRADO")</f>
        <v>Pessoal</v>
      </c>
      <c r="L1280" s="50" t="str">
        <f>VLOOKUP(K1280,'Base -Receita-Despesa'!$B:$P,1,FALSE)</f>
        <v>Pessoal</v>
      </c>
    </row>
    <row r="1281" spans="1:12" ht="15" customHeight="1" x14ac:dyDescent="0.3">
      <c r="A1281" s="82" t="str">
        <f t="shared" si="38"/>
        <v>2016</v>
      </c>
      <c r="B1281" s="72" t="s">
        <v>131</v>
      </c>
      <c r="C1281" s="73" t="s">
        <v>132</v>
      </c>
      <c r="D1281" s="74" t="str">
        <f t="shared" si="39"/>
        <v>jun/2016</v>
      </c>
      <c r="E1281" s="53">
        <v>42528</v>
      </c>
      <c r="F1281" s="75" t="s">
        <v>133</v>
      </c>
      <c r="G1281" s="72"/>
      <c r="H1281" s="49" t="s">
        <v>379</v>
      </c>
      <c r="I1281" s="49" t="s">
        <v>135</v>
      </c>
      <c r="J1281" s="76">
        <v>-1481.77</v>
      </c>
      <c r="K1281" s="83" t="str">
        <f>IFERROR(IFERROR(VLOOKUP(I1281,'DE-PARA'!B:D,3,0),VLOOKUP(I1281,'DE-PARA'!C:D,2,0)),"NÃO ENCONTRADO")</f>
        <v>Pessoal</v>
      </c>
      <c r="L1281" s="50" t="str">
        <f>VLOOKUP(K1281,'Base -Receita-Despesa'!$B:$P,1,FALSE)</f>
        <v>Pessoal</v>
      </c>
    </row>
    <row r="1282" spans="1:12" ht="15" customHeight="1" x14ac:dyDescent="0.3">
      <c r="A1282" s="82" t="str">
        <f t="shared" si="38"/>
        <v>2016</v>
      </c>
      <c r="B1282" s="72" t="s">
        <v>131</v>
      </c>
      <c r="C1282" s="73" t="s">
        <v>132</v>
      </c>
      <c r="D1282" s="74" t="str">
        <f t="shared" si="39"/>
        <v>jun/2016</v>
      </c>
      <c r="E1282" s="53">
        <v>42528</v>
      </c>
      <c r="F1282" s="75" t="s">
        <v>133</v>
      </c>
      <c r="G1282" s="72"/>
      <c r="H1282" s="49" t="s">
        <v>1063</v>
      </c>
      <c r="I1282" s="49" t="s">
        <v>135</v>
      </c>
      <c r="J1282" s="76">
        <v>-1478.15</v>
      </c>
      <c r="K1282" s="83" t="str">
        <f>IFERROR(IFERROR(VLOOKUP(I1282,'DE-PARA'!B:D,3,0),VLOOKUP(I1282,'DE-PARA'!C:D,2,0)),"NÃO ENCONTRADO")</f>
        <v>Pessoal</v>
      </c>
      <c r="L1282" s="50" t="str">
        <f>VLOOKUP(K1282,'Base -Receita-Despesa'!$B:$P,1,FALSE)</f>
        <v>Pessoal</v>
      </c>
    </row>
    <row r="1283" spans="1:12" ht="15" customHeight="1" x14ac:dyDescent="0.3">
      <c r="A1283" s="82" t="str">
        <f t="shared" si="38"/>
        <v>2016</v>
      </c>
      <c r="B1283" s="72" t="s">
        <v>131</v>
      </c>
      <c r="C1283" s="73" t="s">
        <v>132</v>
      </c>
      <c r="D1283" s="74" t="str">
        <f t="shared" si="39"/>
        <v>jun/2016</v>
      </c>
      <c r="E1283" s="53">
        <v>42528</v>
      </c>
      <c r="F1283" s="75" t="s">
        <v>133</v>
      </c>
      <c r="G1283" s="72"/>
      <c r="H1283" s="49" t="s">
        <v>322</v>
      </c>
      <c r="I1283" s="49" t="s">
        <v>135</v>
      </c>
      <c r="J1283" s="76">
        <v>-1214.7</v>
      </c>
      <c r="K1283" s="83" t="str">
        <f>IFERROR(IFERROR(VLOOKUP(I1283,'DE-PARA'!B:D,3,0),VLOOKUP(I1283,'DE-PARA'!C:D,2,0)),"NÃO ENCONTRADO")</f>
        <v>Pessoal</v>
      </c>
      <c r="L1283" s="50" t="str">
        <f>VLOOKUP(K1283,'Base -Receita-Despesa'!$B:$P,1,FALSE)</f>
        <v>Pessoal</v>
      </c>
    </row>
    <row r="1284" spans="1:12" ht="15" customHeight="1" x14ac:dyDescent="0.3">
      <c r="A1284" s="82" t="str">
        <f t="shared" ref="A1284:A1347" si="40">IF(K1284="NÃO ENCONTRADO",0,RIGHT(D1284,4))</f>
        <v>2016</v>
      </c>
      <c r="B1284" s="72" t="s">
        <v>131</v>
      </c>
      <c r="C1284" s="73" t="s">
        <v>132</v>
      </c>
      <c r="D1284" s="74" t="str">
        <f t="shared" ref="D1284:D1347" si="41">TEXT(E1284,"mmm/aaaa")</f>
        <v>jun/2016</v>
      </c>
      <c r="E1284" s="53">
        <v>42528</v>
      </c>
      <c r="F1284" s="75" t="s">
        <v>133</v>
      </c>
      <c r="G1284" s="72"/>
      <c r="H1284" s="49" t="s">
        <v>1064</v>
      </c>
      <c r="I1284" s="49" t="s">
        <v>135</v>
      </c>
      <c r="J1284" s="76">
        <v>-3486.71</v>
      </c>
      <c r="K1284" s="83" t="str">
        <f>IFERROR(IFERROR(VLOOKUP(I1284,'DE-PARA'!B:D,3,0),VLOOKUP(I1284,'DE-PARA'!C:D,2,0)),"NÃO ENCONTRADO")</f>
        <v>Pessoal</v>
      </c>
      <c r="L1284" s="50" t="str">
        <f>VLOOKUP(K1284,'Base -Receita-Despesa'!$B:$P,1,FALSE)</f>
        <v>Pessoal</v>
      </c>
    </row>
    <row r="1285" spans="1:12" ht="15" customHeight="1" x14ac:dyDescent="0.3">
      <c r="A1285" s="82" t="str">
        <f t="shared" si="40"/>
        <v>2016</v>
      </c>
      <c r="B1285" s="72" t="s">
        <v>131</v>
      </c>
      <c r="C1285" s="73" t="s">
        <v>132</v>
      </c>
      <c r="D1285" s="74" t="str">
        <f t="shared" si="41"/>
        <v>jun/2016</v>
      </c>
      <c r="E1285" s="53">
        <v>42528</v>
      </c>
      <c r="F1285" s="75" t="s">
        <v>133</v>
      </c>
      <c r="G1285" s="72"/>
      <c r="H1285" s="49" t="s">
        <v>1065</v>
      </c>
      <c r="I1285" s="49" t="s">
        <v>135</v>
      </c>
      <c r="J1285" s="76">
        <v>-1417.43</v>
      </c>
      <c r="K1285" s="83" t="str">
        <f>IFERROR(IFERROR(VLOOKUP(I1285,'DE-PARA'!B:D,3,0),VLOOKUP(I1285,'DE-PARA'!C:D,2,0)),"NÃO ENCONTRADO")</f>
        <v>Pessoal</v>
      </c>
      <c r="L1285" s="50" t="str">
        <f>VLOOKUP(K1285,'Base -Receita-Despesa'!$B:$P,1,FALSE)</f>
        <v>Pessoal</v>
      </c>
    </row>
    <row r="1286" spans="1:12" ht="15" customHeight="1" x14ac:dyDescent="0.3">
      <c r="A1286" s="82" t="str">
        <f t="shared" si="40"/>
        <v>2016</v>
      </c>
      <c r="B1286" s="72" t="s">
        <v>131</v>
      </c>
      <c r="C1286" s="73" t="s">
        <v>132</v>
      </c>
      <c r="D1286" s="74" t="str">
        <f t="shared" si="41"/>
        <v>jun/2016</v>
      </c>
      <c r="E1286" s="53">
        <v>42528</v>
      </c>
      <c r="F1286" s="75" t="s">
        <v>840</v>
      </c>
      <c r="G1286" s="72"/>
      <c r="H1286" s="49" t="s">
        <v>863</v>
      </c>
      <c r="I1286" s="49" t="s">
        <v>129</v>
      </c>
      <c r="J1286" s="76">
        <v>-7.85</v>
      </c>
      <c r="K1286" s="83" t="str">
        <f>IFERROR(IFERROR(VLOOKUP(I1286,'DE-PARA'!B:D,3,0),VLOOKUP(I1286,'DE-PARA'!C:D,2,0)),"NÃO ENCONTRADO")</f>
        <v>Outras Saídas</v>
      </c>
      <c r="L1286" s="50" t="str">
        <f>VLOOKUP(K1286,'Base -Receita-Despesa'!$B:$P,1,FALSE)</f>
        <v>Outras Saídas</v>
      </c>
    </row>
    <row r="1287" spans="1:12" ht="15" customHeight="1" x14ac:dyDescent="0.3">
      <c r="A1287" s="82" t="str">
        <f t="shared" si="40"/>
        <v>2016</v>
      </c>
      <c r="B1287" s="72" t="s">
        <v>131</v>
      </c>
      <c r="C1287" s="73" t="s">
        <v>132</v>
      </c>
      <c r="D1287" s="74" t="str">
        <f t="shared" si="41"/>
        <v>jun/2016</v>
      </c>
      <c r="E1287" s="53">
        <v>42528</v>
      </c>
      <c r="F1287" s="75" t="s">
        <v>840</v>
      </c>
      <c r="G1287" s="72"/>
      <c r="H1287" s="49" t="s">
        <v>863</v>
      </c>
      <c r="I1287" s="49" t="s">
        <v>129</v>
      </c>
      <c r="J1287" s="76">
        <v>-7.85</v>
      </c>
      <c r="K1287" s="83" t="str">
        <f>IFERROR(IFERROR(VLOOKUP(I1287,'DE-PARA'!B:D,3,0),VLOOKUP(I1287,'DE-PARA'!C:D,2,0)),"NÃO ENCONTRADO")</f>
        <v>Outras Saídas</v>
      </c>
      <c r="L1287" s="50" t="str">
        <f>VLOOKUP(K1287,'Base -Receita-Despesa'!$B:$P,1,FALSE)</f>
        <v>Outras Saídas</v>
      </c>
    </row>
    <row r="1288" spans="1:12" ht="15" customHeight="1" x14ac:dyDescent="0.3">
      <c r="A1288" s="82" t="str">
        <f t="shared" si="40"/>
        <v>2016</v>
      </c>
      <c r="B1288" s="72" t="s">
        <v>131</v>
      </c>
      <c r="C1288" s="73" t="s">
        <v>132</v>
      </c>
      <c r="D1288" s="74" t="str">
        <f t="shared" si="41"/>
        <v>jun/2016</v>
      </c>
      <c r="E1288" s="53">
        <v>42528</v>
      </c>
      <c r="F1288" s="75" t="s">
        <v>840</v>
      </c>
      <c r="G1288" s="72"/>
      <c r="H1288" s="49" t="s">
        <v>863</v>
      </c>
      <c r="I1288" s="49" t="s">
        <v>129</v>
      </c>
      <c r="J1288" s="76">
        <v>-7.85</v>
      </c>
      <c r="K1288" s="83" t="str">
        <f>IFERROR(IFERROR(VLOOKUP(I1288,'DE-PARA'!B:D,3,0),VLOOKUP(I1288,'DE-PARA'!C:D,2,0)),"NÃO ENCONTRADO")</f>
        <v>Outras Saídas</v>
      </c>
      <c r="L1288" s="50" t="str">
        <f>VLOOKUP(K1288,'Base -Receita-Despesa'!$B:$P,1,FALSE)</f>
        <v>Outras Saídas</v>
      </c>
    </row>
    <row r="1289" spans="1:12" ht="15" customHeight="1" x14ac:dyDescent="0.3">
      <c r="A1289" s="82" t="str">
        <f t="shared" si="40"/>
        <v>2016</v>
      </c>
      <c r="B1289" s="72" t="s">
        <v>131</v>
      </c>
      <c r="C1289" s="73" t="s">
        <v>132</v>
      </c>
      <c r="D1289" s="74" t="str">
        <f t="shared" si="41"/>
        <v>jun/2016</v>
      </c>
      <c r="E1289" s="53">
        <v>42528</v>
      </c>
      <c r="F1289" s="75" t="s">
        <v>840</v>
      </c>
      <c r="G1289" s="72"/>
      <c r="H1289" s="49" t="s">
        <v>863</v>
      </c>
      <c r="I1289" s="49" t="s">
        <v>129</v>
      </c>
      <c r="J1289" s="76">
        <v>-7.85</v>
      </c>
      <c r="K1289" s="83" t="str">
        <f>IFERROR(IFERROR(VLOOKUP(I1289,'DE-PARA'!B:D,3,0),VLOOKUP(I1289,'DE-PARA'!C:D,2,0)),"NÃO ENCONTRADO")</f>
        <v>Outras Saídas</v>
      </c>
      <c r="L1289" s="50" t="str">
        <f>VLOOKUP(K1289,'Base -Receita-Despesa'!$B:$P,1,FALSE)</f>
        <v>Outras Saídas</v>
      </c>
    </row>
    <row r="1290" spans="1:12" ht="15" customHeight="1" x14ac:dyDescent="0.3">
      <c r="A1290" s="82" t="str">
        <f t="shared" si="40"/>
        <v>2016</v>
      </c>
      <c r="B1290" s="72" t="s">
        <v>131</v>
      </c>
      <c r="C1290" s="73" t="s">
        <v>132</v>
      </c>
      <c r="D1290" s="74" t="str">
        <f t="shared" si="41"/>
        <v>jun/2016</v>
      </c>
      <c r="E1290" s="53">
        <v>42528</v>
      </c>
      <c r="F1290" s="75" t="s">
        <v>840</v>
      </c>
      <c r="G1290" s="72"/>
      <c r="H1290" s="49" t="s">
        <v>863</v>
      </c>
      <c r="I1290" s="49" t="s">
        <v>129</v>
      </c>
      <c r="J1290" s="76">
        <v>-7.85</v>
      </c>
      <c r="K1290" s="83" t="str">
        <f>IFERROR(IFERROR(VLOOKUP(I1290,'DE-PARA'!B:D,3,0),VLOOKUP(I1290,'DE-PARA'!C:D,2,0)),"NÃO ENCONTRADO")</f>
        <v>Outras Saídas</v>
      </c>
      <c r="L1290" s="50" t="str">
        <f>VLOOKUP(K1290,'Base -Receita-Despesa'!$B:$P,1,FALSE)</f>
        <v>Outras Saídas</v>
      </c>
    </row>
    <row r="1291" spans="1:12" ht="15" customHeight="1" x14ac:dyDescent="0.3">
      <c r="A1291" s="82" t="str">
        <f t="shared" si="40"/>
        <v>2016</v>
      </c>
      <c r="B1291" s="72" t="s">
        <v>131</v>
      </c>
      <c r="C1291" s="73" t="s">
        <v>132</v>
      </c>
      <c r="D1291" s="74" t="str">
        <f t="shared" si="41"/>
        <v>jun/2016</v>
      </c>
      <c r="E1291" s="53">
        <v>42528</v>
      </c>
      <c r="F1291" s="75" t="s">
        <v>840</v>
      </c>
      <c r="G1291" s="72"/>
      <c r="H1291" s="49" t="s">
        <v>863</v>
      </c>
      <c r="I1291" s="49" t="s">
        <v>129</v>
      </c>
      <c r="J1291" s="76">
        <v>-7.85</v>
      </c>
      <c r="K1291" s="83" t="str">
        <f>IFERROR(IFERROR(VLOOKUP(I1291,'DE-PARA'!B:D,3,0),VLOOKUP(I1291,'DE-PARA'!C:D,2,0)),"NÃO ENCONTRADO")</f>
        <v>Outras Saídas</v>
      </c>
      <c r="L1291" s="50" t="str">
        <f>VLOOKUP(K1291,'Base -Receita-Despesa'!$B:$P,1,FALSE)</f>
        <v>Outras Saídas</v>
      </c>
    </row>
    <row r="1292" spans="1:12" ht="15" customHeight="1" x14ac:dyDescent="0.3">
      <c r="A1292" s="82" t="str">
        <f t="shared" si="40"/>
        <v>2016</v>
      </c>
      <c r="B1292" s="72" t="s">
        <v>131</v>
      </c>
      <c r="C1292" s="73" t="s">
        <v>132</v>
      </c>
      <c r="D1292" s="74" t="str">
        <f t="shared" si="41"/>
        <v>jun/2016</v>
      </c>
      <c r="E1292" s="53">
        <v>42528</v>
      </c>
      <c r="F1292" s="75" t="s">
        <v>840</v>
      </c>
      <c r="G1292" s="72"/>
      <c r="H1292" s="49" t="s">
        <v>863</v>
      </c>
      <c r="I1292" s="49" t="s">
        <v>129</v>
      </c>
      <c r="J1292" s="76">
        <v>-7.85</v>
      </c>
      <c r="K1292" s="83" t="str">
        <f>IFERROR(IFERROR(VLOOKUP(I1292,'DE-PARA'!B:D,3,0),VLOOKUP(I1292,'DE-PARA'!C:D,2,0)),"NÃO ENCONTRADO")</f>
        <v>Outras Saídas</v>
      </c>
      <c r="L1292" s="50" t="str">
        <f>VLOOKUP(K1292,'Base -Receita-Despesa'!$B:$P,1,FALSE)</f>
        <v>Outras Saídas</v>
      </c>
    </row>
    <row r="1293" spans="1:12" ht="15" customHeight="1" x14ac:dyDescent="0.3">
      <c r="A1293" s="82" t="str">
        <f t="shared" si="40"/>
        <v>2016</v>
      </c>
      <c r="B1293" s="72" t="s">
        <v>131</v>
      </c>
      <c r="C1293" s="73" t="s">
        <v>132</v>
      </c>
      <c r="D1293" s="74" t="str">
        <f t="shared" si="41"/>
        <v>jun/2016</v>
      </c>
      <c r="E1293" s="53">
        <v>42528</v>
      </c>
      <c r="F1293" s="75" t="s">
        <v>840</v>
      </c>
      <c r="G1293" s="72"/>
      <c r="H1293" s="49" t="s">
        <v>863</v>
      </c>
      <c r="I1293" s="49" t="s">
        <v>129</v>
      </c>
      <c r="J1293" s="76">
        <v>-7.85</v>
      </c>
      <c r="K1293" s="83" t="str">
        <f>IFERROR(IFERROR(VLOOKUP(I1293,'DE-PARA'!B:D,3,0),VLOOKUP(I1293,'DE-PARA'!C:D,2,0)),"NÃO ENCONTRADO")</f>
        <v>Outras Saídas</v>
      </c>
      <c r="L1293" s="50" t="str">
        <f>VLOOKUP(K1293,'Base -Receita-Despesa'!$B:$P,1,FALSE)</f>
        <v>Outras Saídas</v>
      </c>
    </row>
    <row r="1294" spans="1:12" ht="15" customHeight="1" x14ac:dyDescent="0.3">
      <c r="A1294" s="82" t="str">
        <f t="shared" si="40"/>
        <v>2016</v>
      </c>
      <c r="B1294" s="72" t="s">
        <v>131</v>
      </c>
      <c r="C1294" s="73" t="s">
        <v>132</v>
      </c>
      <c r="D1294" s="74" t="str">
        <f t="shared" si="41"/>
        <v>jun/2016</v>
      </c>
      <c r="E1294" s="53">
        <v>42528</v>
      </c>
      <c r="F1294" s="75" t="s">
        <v>840</v>
      </c>
      <c r="G1294" s="72"/>
      <c r="H1294" s="49" t="s">
        <v>863</v>
      </c>
      <c r="I1294" s="49" t="s">
        <v>129</v>
      </c>
      <c r="J1294" s="76">
        <v>-7.85</v>
      </c>
      <c r="K1294" s="83" t="str">
        <f>IFERROR(IFERROR(VLOOKUP(I1294,'DE-PARA'!B:D,3,0),VLOOKUP(I1294,'DE-PARA'!C:D,2,0)),"NÃO ENCONTRADO")</f>
        <v>Outras Saídas</v>
      </c>
      <c r="L1294" s="50" t="str">
        <f>VLOOKUP(K1294,'Base -Receita-Despesa'!$B:$P,1,FALSE)</f>
        <v>Outras Saídas</v>
      </c>
    </row>
    <row r="1295" spans="1:12" ht="15" customHeight="1" x14ac:dyDescent="0.3">
      <c r="A1295" s="82" t="str">
        <f t="shared" si="40"/>
        <v>2016</v>
      </c>
      <c r="B1295" s="72" t="s">
        <v>131</v>
      </c>
      <c r="C1295" s="73" t="s">
        <v>132</v>
      </c>
      <c r="D1295" s="74" t="str">
        <f t="shared" si="41"/>
        <v>jun/2016</v>
      </c>
      <c r="E1295" s="53">
        <v>42528</v>
      </c>
      <c r="F1295" s="75" t="s">
        <v>840</v>
      </c>
      <c r="G1295" s="72"/>
      <c r="H1295" s="49" t="s">
        <v>863</v>
      </c>
      <c r="I1295" s="49" t="s">
        <v>129</v>
      </c>
      <c r="J1295" s="76">
        <v>-7.85</v>
      </c>
      <c r="K1295" s="83" t="str">
        <f>IFERROR(IFERROR(VLOOKUP(I1295,'DE-PARA'!B:D,3,0),VLOOKUP(I1295,'DE-PARA'!C:D,2,0)),"NÃO ENCONTRADO")</f>
        <v>Outras Saídas</v>
      </c>
      <c r="L1295" s="50" t="str">
        <f>VLOOKUP(K1295,'Base -Receita-Despesa'!$B:$P,1,FALSE)</f>
        <v>Outras Saídas</v>
      </c>
    </row>
    <row r="1296" spans="1:12" ht="15" customHeight="1" x14ac:dyDescent="0.3">
      <c r="A1296" s="82" t="str">
        <f t="shared" si="40"/>
        <v>2016</v>
      </c>
      <c r="B1296" s="72" t="s">
        <v>131</v>
      </c>
      <c r="C1296" s="73" t="s">
        <v>132</v>
      </c>
      <c r="D1296" s="74" t="str">
        <f t="shared" si="41"/>
        <v>jun/2016</v>
      </c>
      <c r="E1296" s="53">
        <v>42528</v>
      </c>
      <c r="F1296" s="75" t="s">
        <v>840</v>
      </c>
      <c r="G1296" s="72"/>
      <c r="H1296" s="49" t="s">
        <v>863</v>
      </c>
      <c r="I1296" s="49" t="s">
        <v>129</v>
      </c>
      <c r="J1296" s="76">
        <v>-7.85</v>
      </c>
      <c r="K1296" s="83" t="str">
        <f>IFERROR(IFERROR(VLOOKUP(I1296,'DE-PARA'!B:D,3,0),VLOOKUP(I1296,'DE-PARA'!C:D,2,0)),"NÃO ENCONTRADO")</f>
        <v>Outras Saídas</v>
      </c>
      <c r="L1296" s="50" t="str">
        <f>VLOOKUP(K1296,'Base -Receita-Despesa'!$B:$P,1,FALSE)</f>
        <v>Outras Saídas</v>
      </c>
    </row>
    <row r="1297" spans="1:12" ht="15" customHeight="1" x14ac:dyDescent="0.3">
      <c r="A1297" s="82" t="str">
        <f t="shared" si="40"/>
        <v>2016</v>
      </c>
      <c r="B1297" s="72" t="s">
        <v>131</v>
      </c>
      <c r="C1297" s="73" t="s">
        <v>132</v>
      </c>
      <c r="D1297" s="74" t="str">
        <f t="shared" si="41"/>
        <v>jun/2016</v>
      </c>
      <c r="E1297" s="53">
        <v>42528</v>
      </c>
      <c r="F1297" s="75" t="s">
        <v>840</v>
      </c>
      <c r="G1297" s="72"/>
      <c r="H1297" s="49" t="s">
        <v>863</v>
      </c>
      <c r="I1297" s="49" t="s">
        <v>129</v>
      </c>
      <c r="J1297" s="76">
        <v>-7.85</v>
      </c>
      <c r="K1297" s="83" t="str">
        <f>IFERROR(IFERROR(VLOOKUP(I1297,'DE-PARA'!B:D,3,0),VLOOKUP(I1297,'DE-PARA'!C:D,2,0)),"NÃO ENCONTRADO")</f>
        <v>Outras Saídas</v>
      </c>
      <c r="L1297" s="50" t="str">
        <f>VLOOKUP(K1297,'Base -Receita-Despesa'!$B:$P,1,FALSE)</f>
        <v>Outras Saídas</v>
      </c>
    </row>
    <row r="1298" spans="1:12" ht="15" customHeight="1" x14ac:dyDescent="0.3">
      <c r="A1298" s="82" t="str">
        <f t="shared" si="40"/>
        <v>2016</v>
      </c>
      <c r="B1298" s="72" t="s">
        <v>131</v>
      </c>
      <c r="C1298" s="73" t="s">
        <v>132</v>
      </c>
      <c r="D1298" s="74" t="str">
        <f t="shared" si="41"/>
        <v>jun/2016</v>
      </c>
      <c r="E1298" s="53">
        <v>42528</v>
      </c>
      <c r="F1298" s="75" t="s">
        <v>840</v>
      </c>
      <c r="G1298" s="72"/>
      <c r="H1298" s="49" t="s">
        <v>863</v>
      </c>
      <c r="I1298" s="49" t="s">
        <v>129</v>
      </c>
      <c r="J1298" s="76">
        <v>-7.85</v>
      </c>
      <c r="K1298" s="83" t="str">
        <f>IFERROR(IFERROR(VLOOKUP(I1298,'DE-PARA'!B:D,3,0),VLOOKUP(I1298,'DE-PARA'!C:D,2,0)),"NÃO ENCONTRADO")</f>
        <v>Outras Saídas</v>
      </c>
      <c r="L1298" s="50" t="str">
        <f>VLOOKUP(K1298,'Base -Receita-Despesa'!$B:$P,1,FALSE)</f>
        <v>Outras Saídas</v>
      </c>
    </row>
    <row r="1299" spans="1:12" ht="15" customHeight="1" x14ac:dyDescent="0.3">
      <c r="A1299" s="82" t="str">
        <f t="shared" si="40"/>
        <v>2016</v>
      </c>
      <c r="B1299" s="72" t="s">
        <v>131</v>
      </c>
      <c r="C1299" s="73" t="s">
        <v>132</v>
      </c>
      <c r="D1299" s="74" t="str">
        <f t="shared" si="41"/>
        <v>jun/2016</v>
      </c>
      <c r="E1299" s="53">
        <v>42528</v>
      </c>
      <c r="F1299" s="75" t="s">
        <v>840</v>
      </c>
      <c r="G1299" s="72"/>
      <c r="H1299" s="49" t="s">
        <v>863</v>
      </c>
      <c r="I1299" s="49" t="s">
        <v>129</v>
      </c>
      <c r="J1299" s="76">
        <v>-7.85</v>
      </c>
      <c r="K1299" s="83" t="str">
        <f>IFERROR(IFERROR(VLOOKUP(I1299,'DE-PARA'!B:D,3,0),VLOOKUP(I1299,'DE-PARA'!C:D,2,0)),"NÃO ENCONTRADO")</f>
        <v>Outras Saídas</v>
      </c>
      <c r="L1299" s="50" t="str">
        <f>VLOOKUP(K1299,'Base -Receita-Despesa'!$B:$P,1,FALSE)</f>
        <v>Outras Saídas</v>
      </c>
    </row>
    <row r="1300" spans="1:12" ht="15" customHeight="1" x14ac:dyDescent="0.3">
      <c r="A1300" s="82" t="str">
        <f t="shared" si="40"/>
        <v>2016</v>
      </c>
      <c r="B1300" s="72" t="s">
        <v>131</v>
      </c>
      <c r="C1300" s="73" t="s">
        <v>132</v>
      </c>
      <c r="D1300" s="74" t="str">
        <f t="shared" si="41"/>
        <v>jun/2016</v>
      </c>
      <c r="E1300" s="53">
        <v>42528</v>
      </c>
      <c r="F1300" s="75" t="s">
        <v>840</v>
      </c>
      <c r="G1300" s="72"/>
      <c r="H1300" s="49" t="s">
        <v>863</v>
      </c>
      <c r="I1300" s="49" t="s">
        <v>129</v>
      </c>
      <c r="J1300" s="76">
        <v>-7.85</v>
      </c>
      <c r="K1300" s="83" t="str">
        <f>IFERROR(IFERROR(VLOOKUP(I1300,'DE-PARA'!B:D,3,0),VLOOKUP(I1300,'DE-PARA'!C:D,2,0)),"NÃO ENCONTRADO")</f>
        <v>Outras Saídas</v>
      </c>
      <c r="L1300" s="50" t="str">
        <f>VLOOKUP(K1300,'Base -Receita-Despesa'!$B:$P,1,FALSE)</f>
        <v>Outras Saídas</v>
      </c>
    </row>
    <row r="1301" spans="1:12" ht="15" customHeight="1" x14ac:dyDescent="0.3">
      <c r="A1301" s="82" t="str">
        <f t="shared" si="40"/>
        <v>2016</v>
      </c>
      <c r="B1301" s="72" t="s">
        <v>131</v>
      </c>
      <c r="C1301" s="73" t="s">
        <v>132</v>
      </c>
      <c r="D1301" s="74" t="str">
        <f t="shared" si="41"/>
        <v>jun/2016</v>
      </c>
      <c r="E1301" s="53">
        <v>42528</v>
      </c>
      <c r="F1301" s="75" t="s">
        <v>840</v>
      </c>
      <c r="G1301" s="72"/>
      <c r="H1301" s="49" t="s">
        <v>863</v>
      </c>
      <c r="I1301" s="49" t="s">
        <v>129</v>
      </c>
      <c r="J1301" s="76">
        <v>-7.85</v>
      </c>
      <c r="K1301" s="83" t="str">
        <f>IFERROR(IFERROR(VLOOKUP(I1301,'DE-PARA'!B:D,3,0),VLOOKUP(I1301,'DE-PARA'!C:D,2,0)),"NÃO ENCONTRADO")</f>
        <v>Outras Saídas</v>
      </c>
      <c r="L1301" s="50" t="str">
        <f>VLOOKUP(K1301,'Base -Receita-Despesa'!$B:$P,1,FALSE)</f>
        <v>Outras Saídas</v>
      </c>
    </row>
    <row r="1302" spans="1:12" ht="15" customHeight="1" x14ac:dyDescent="0.3">
      <c r="A1302" s="82" t="str">
        <f t="shared" si="40"/>
        <v>2016</v>
      </c>
      <c r="B1302" s="72" t="s">
        <v>131</v>
      </c>
      <c r="C1302" s="73" t="s">
        <v>132</v>
      </c>
      <c r="D1302" s="74" t="str">
        <f t="shared" si="41"/>
        <v>jun/2016</v>
      </c>
      <c r="E1302" s="53">
        <v>42528</v>
      </c>
      <c r="F1302" s="75" t="s">
        <v>840</v>
      </c>
      <c r="G1302" s="72"/>
      <c r="H1302" s="49" t="s">
        <v>863</v>
      </c>
      <c r="I1302" s="49" t="s">
        <v>129</v>
      </c>
      <c r="J1302" s="76">
        <v>-7.85</v>
      </c>
      <c r="K1302" s="83" t="str">
        <f>IFERROR(IFERROR(VLOOKUP(I1302,'DE-PARA'!B:D,3,0),VLOOKUP(I1302,'DE-PARA'!C:D,2,0)),"NÃO ENCONTRADO")</f>
        <v>Outras Saídas</v>
      </c>
      <c r="L1302" s="50" t="str">
        <f>VLOOKUP(K1302,'Base -Receita-Despesa'!$B:$P,1,FALSE)</f>
        <v>Outras Saídas</v>
      </c>
    </row>
    <row r="1303" spans="1:12" ht="15" customHeight="1" x14ac:dyDescent="0.3">
      <c r="A1303" s="82" t="str">
        <f t="shared" si="40"/>
        <v>2016</v>
      </c>
      <c r="B1303" s="72" t="s">
        <v>131</v>
      </c>
      <c r="C1303" s="73" t="s">
        <v>132</v>
      </c>
      <c r="D1303" s="74" t="str">
        <f t="shared" si="41"/>
        <v>jun/2016</v>
      </c>
      <c r="E1303" s="53">
        <v>42528</v>
      </c>
      <c r="F1303" s="75" t="s">
        <v>840</v>
      </c>
      <c r="G1303" s="72"/>
      <c r="H1303" s="49" t="s">
        <v>863</v>
      </c>
      <c r="I1303" s="49" t="s">
        <v>129</v>
      </c>
      <c r="J1303" s="76">
        <v>-7.85</v>
      </c>
      <c r="K1303" s="83" t="str">
        <f>IFERROR(IFERROR(VLOOKUP(I1303,'DE-PARA'!B:D,3,0),VLOOKUP(I1303,'DE-PARA'!C:D,2,0)),"NÃO ENCONTRADO")</f>
        <v>Outras Saídas</v>
      </c>
      <c r="L1303" s="50" t="str">
        <f>VLOOKUP(K1303,'Base -Receita-Despesa'!$B:$P,1,FALSE)</f>
        <v>Outras Saídas</v>
      </c>
    </row>
    <row r="1304" spans="1:12" ht="15" customHeight="1" x14ac:dyDescent="0.3">
      <c r="A1304" s="82" t="str">
        <f t="shared" si="40"/>
        <v>2016</v>
      </c>
      <c r="B1304" s="72" t="s">
        <v>131</v>
      </c>
      <c r="C1304" s="73" t="s">
        <v>132</v>
      </c>
      <c r="D1304" s="74" t="str">
        <f t="shared" si="41"/>
        <v>jun/2016</v>
      </c>
      <c r="E1304" s="53">
        <v>42528</v>
      </c>
      <c r="F1304" s="75" t="s">
        <v>840</v>
      </c>
      <c r="G1304" s="72"/>
      <c r="H1304" s="49" t="s">
        <v>863</v>
      </c>
      <c r="I1304" s="49" t="s">
        <v>129</v>
      </c>
      <c r="J1304" s="76">
        <v>-7.85</v>
      </c>
      <c r="K1304" s="83" t="str">
        <f>IFERROR(IFERROR(VLOOKUP(I1304,'DE-PARA'!B:D,3,0),VLOOKUP(I1304,'DE-PARA'!C:D,2,0)),"NÃO ENCONTRADO")</f>
        <v>Outras Saídas</v>
      </c>
      <c r="L1304" s="50" t="str">
        <f>VLOOKUP(K1304,'Base -Receita-Despesa'!$B:$P,1,FALSE)</f>
        <v>Outras Saídas</v>
      </c>
    </row>
    <row r="1305" spans="1:12" ht="15" customHeight="1" x14ac:dyDescent="0.3">
      <c r="A1305" s="82" t="str">
        <f t="shared" si="40"/>
        <v>2016</v>
      </c>
      <c r="B1305" s="72" t="s">
        <v>131</v>
      </c>
      <c r="C1305" s="73" t="s">
        <v>132</v>
      </c>
      <c r="D1305" s="74" t="str">
        <f t="shared" si="41"/>
        <v>jun/2016</v>
      </c>
      <c r="E1305" s="53">
        <v>42528</v>
      </c>
      <c r="F1305" s="75" t="s">
        <v>840</v>
      </c>
      <c r="G1305" s="72"/>
      <c r="H1305" s="49" t="s">
        <v>863</v>
      </c>
      <c r="I1305" s="49" t="s">
        <v>129</v>
      </c>
      <c r="J1305" s="76">
        <v>-7.85</v>
      </c>
      <c r="K1305" s="83" t="str">
        <f>IFERROR(IFERROR(VLOOKUP(I1305,'DE-PARA'!B:D,3,0),VLOOKUP(I1305,'DE-PARA'!C:D,2,0)),"NÃO ENCONTRADO")</f>
        <v>Outras Saídas</v>
      </c>
      <c r="L1305" s="50" t="str">
        <f>VLOOKUP(K1305,'Base -Receita-Despesa'!$B:$P,1,FALSE)</f>
        <v>Outras Saídas</v>
      </c>
    </row>
    <row r="1306" spans="1:12" ht="15" customHeight="1" x14ac:dyDescent="0.3">
      <c r="A1306" s="82" t="str">
        <f t="shared" si="40"/>
        <v>2016</v>
      </c>
      <c r="B1306" s="72" t="s">
        <v>131</v>
      </c>
      <c r="C1306" s="73" t="s">
        <v>132</v>
      </c>
      <c r="D1306" s="74" t="str">
        <f t="shared" si="41"/>
        <v>jun/2016</v>
      </c>
      <c r="E1306" s="53">
        <v>42528</v>
      </c>
      <c r="F1306" s="75" t="s">
        <v>840</v>
      </c>
      <c r="G1306" s="72"/>
      <c r="H1306" s="49" t="s">
        <v>863</v>
      </c>
      <c r="I1306" s="49" t="s">
        <v>129</v>
      </c>
      <c r="J1306" s="76">
        <v>-7.85</v>
      </c>
      <c r="K1306" s="83" t="str">
        <f>IFERROR(IFERROR(VLOOKUP(I1306,'DE-PARA'!B:D,3,0),VLOOKUP(I1306,'DE-PARA'!C:D,2,0)),"NÃO ENCONTRADO")</f>
        <v>Outras Saídas</v>
      </c>
      <c r="L1306" s="50" t="str">
        <f>VLOOKUP(K1306,'Base -Receita-Despesa'!$B:$P,1,FALSE)</f>
        <v>Outras Saídas</v>
      </c>
    </row>
    <row r="1307" spans="1:12" ht="15" customHeight="1" x14ac:dyDescent="0.3">
      <c r="A1307" s="82" t="str">
        <f t="shared" si="40"/>
        <v>2016</v>
      </c>
      <c r="B1307" s="72" t="s">
        <v>131</v>
      </c>
      <c r="C1307" s="73" t="s">
        <v>132</v>
      </c>
      <c r="D1307" s="74" t="str">
        <f t="shared" si="41"/>
        <v>jun/2016</v>
      </c>
      <c r="E1307" s="53">
        <v>42528</v>
      </c>
      <c r="F1307" s="75" t="s">
        <v>840</v>
      </c>
      <c r="G1307" s="72"/>
      <c r="H1307" s="49" t="s">
        <v>863</v>
      </c>
      <c r="I1307" s="49" t="s">
        <v>129</v>
      </c>
      <c r="J1307" s="76">
        <v>-7.85</v>
      </c>
      <c r="K1307" s="83" t="str">
        <f>IFERROR(IFERROR(VLOOKUP(I1307,'DE-PARA'!B:D,3,0),VLOOKUP(I1307,'DE-PARA'!C:D,2,0)),"NÃO ENCONTRADO")</f>
        <v>Outras Saídas</v>
      </c>
      <c r="L1307" s="50" t="str">
        <f>VLOOKUP(K1307,'Base -Receita-Despesa'!$B:$P,1,FALSE)</f>
        <v>Outras Saídas</v>
      </c>
    </row>
    <row r="1308" spans="1:12" ht="15" customHeight="1" x14ac:dyDescent="0.3">
      <c r="A1308" s="82" t="str">
        <f t="shared" si="40"/>
        <v>2016</v>
      </c>
      <c r="B1308" s="72" t="s">
        <v>131</v>
      </c>
      <c r="C1308" s="73" t="s">
        <v>132</v>
      </c>
      <c r="D1308" s="74" t="str">
        <f t="shared" si="41"/>
        <v>jun/2016</v>
      </c>
      <c r="E1308" s="53">
        <v>42528</v>
      </c>
      <c r="F1308" s="75" t="s">
        <v>840</v>
      </c>
      <c r="G1308" s="72"/>
      <c r="H1308" s="49" t="s">
        <v>863</v>
      </c>
      <c r="I1308" s="49" t="s">
        <v>129</v>
      </c>
      <c r="J1308" s="76">
        <v>-7.85</v>
      </c>
      <c r="K1308" s="83" t="str">
        <f>IFERROR(IFERROR(VLOOKUP(I1308,'DE-PARA'!B:D,3,0),VLOOKUP(I1308,'DE-PARA'!C:D,2,0)),"NÃO ENCONTRADO")</f>
        <v>Outras Saídas</v>
      </c>
      <c r="L1308" s="50" t="str">
        <f>VLOOKUP(K1308,'Base -Receita-Despesa'!$B:$P,1,FALSE)</f>
        <v>Outras Saídas</v>
      </c>
    </row>
    <row r="1309" spans="1:12" ht="15" customHeight="1" x14ac:dyDescent="0.3">
      <c r="A1309" s="82" t="str">
        <f t="shared" si="40"/>
        <v>2016</v>
      </c>
      <c r="B1309" s="72" t="s">
        <v>131</v>
      </c>
      <c r="C1309" s="73" t="s">
        <v>132</v>
      </c>
      <c r="D1309" s="74" t="str">
        <f t="shared" si="41"/>
        <v>jun/2016</v>
      </c>
      <c r="E1309" s="53">
        <v>42528</v>
      </c>
      <c r="F1309" s="75" t="s">
        <v>133</v>
      </c>
      <c r="G1309" s="72"/>
      <c r="H1309" s="49" t="s">
        <v>1010</v>
      </c>
      <c r="I1309" s="49" t="s">
        <v>135</v>
      </c>
      <c r="J1309" s="76">
        <v>-2649.28</v>
      </c>
      <c r="K1309" s="83" t="str">
        <f>IFERROR(IFERROR(VLOOKUP(I1309,'DE-PARA'!B:D,3,0),VLOOKUP(I1309,'DE-PARA'!C:D,2,0)),"NÃO ENCONTRADO")</f>
        <v>Pessoal</v>
      </c>
      <c r="L1309" s="50" t="str">
        <f>VLOOKUP(K1309,'Base -Receita-Despesa'!$B:$P,1,FALSE)</f>
        <v>Pessoal</v>
      </c>
    </row>
    <row r="1310" spans="1:12" ht="15" customHeight="1" x14ac:dyDescent="0.3">
      <c r="A1310" s="82" t="str">
        <f t="shared" si="40"/>
        <v>2016</v>
      </c>
      <c r="B1310" s="72" t="s">
        <v>131</v>
      </c>
      <c r="C1310" s="73" t="s">
        <v>132</v>
      </c>
      <c r="D1310" s="74" t="str">
        <f t="shared" si="41"/>
        <v>jun/2016</v>
      </c>
      <c r="E1310" s="53">
        <v>42528</v>
      </c>
      <c r="F1310" s="75" t="s">
        <v>133</v>
      </c>
      <c r="G1310" s="72"/>
      <c r="H1310" s="49" t="s">
        <v>680</v>
      </c>
      <c r="I1310" s="49" t="s">
        <v>135</v>
      </c>
      <c r="J1310" s="76">
        <v>-2945.96</v>
      </c>
      <c r="K1310" s="83" t="str">
        <f>IFERROR(IFERROR(VLOOKUP(I1310,'DE-PARA'!B:D,3,0),VLOOKUP(I1310,'DE-PARA'!C:D,2,0)),"NÃO ENCONTRADO")</f>
        <v>Pessoal</v>
      </c>
      <c r="L1310" s="50" t="str">
        <f>VLOOKUP(K1310,'Base -Receita-Despesa'!$B:$P,1,FALSE)</f>
        <v>Pessoal</v>
      </c>
    </row>
    <row r="1311" spans="1:12" ht="15" customHeight="1" x14ac:dyDescent="0.3">
      <c r="A1311" s="82" t="str">
        <f t="shared" si="40"/>
        <v>2016</v>
      </c>
      <c r="B1311" s="72" t="s">
        <v>131</v>
      </c>
      <c r="C1311" s="73" t="s">
        <v>132</v>
      </c>
      <c r="D1311" s="74" t="str">
        <f t="shared" si="41"/>
        <v>jun/2016</v>
      </c>
      <c r="E1311" s="53">
        <v>42528</v>
      </c>
      <c r="F1311" s="75" t="s">
        <v>122</v>
      </c>
      <c r="G1311" s="72"/>
      <c r="H1311" s="49" t="s">
        <v>1066</v>
      </c>
      <c r="I1311" s="49" t="s">
        <v>122</v>
      </c>
      <c r="J1311" s="76">
        <v>-34823.589999999997</v>
      </c>
      <c r="K1311" s="83" t="str">
        <f>IFERROR(IFERROR(VLOOKUP(I1311,'DE-PARA'!B:D,3,0),VLOOKUP(I1311,'DE-PARA'!C:D,2,0)),"NÃO ENCONTRADO")</f>
        <v>Encargos sobre Folha de Pagamento</v>
      </c>
      <c r="L1311" s="50" t="str">
        <f>VLOOKUP(K1311,'Base -Receita-Despesa'!$B:$P,1,FALSE)</f>
        <v>Encargos sobre Folha de Pagamento</v>
      </c>
    </row>
    <row r="1312" spans="1:12" ht="15" customHeight="1" x14ac:dyDescent="0.3">
      <c r="A1312" s="82" t="str">
        <f t="shared" si="40"/>
        <v>2016</v>
      </c>
      <c r="B1312" s="72" t="s">
        <v>131</v>
      </c>
      <c r="C1312" s="73" t="s">
        <v>132</v>
      </c>
      <c r="D1312" s="74" t="str">
        <f t="shared" si="41"/>
        <v>jun/2016</v>
      </c>
      <c r="E1312" s="53">
        <v>42528</v>
      </c>
      <c r="F1312" s="75" t="s">
        <v>133</v>
      </c>
      <c r="G1312" s="72"/>
      <c r="H1312" s="49" t="s">
        <v>1067</v>
      </c>
      <c r="I1312" s="49" t="s">
        <v>135</v>
      </c>
      <c r="J1312" s="76">
        <v>-112938.1</v>
      </c>
      <c r="K1312" s="83" t="str">
        <f>IFERROR(IFERROR(VLOOKUP(I1312,'DE-PARA'!B:D,3,0),VLOOKUP(I1312,'DE-PARA'!C:D,2,0)),"NÃO ENCONTRADO")</f>
        <v>Pessoal</v>
      </c>
      <c r="L1312" s="50" t="str">
        <f>VLOOKUP(K1312,'Base -Receita-Despesa'!$B:$P,1,FALSE)</f>
        <v>Pessoal</v>
      </c>
    </row>
    <row r="1313" spans="1:12" ht="15" customHeight="1" x14ac:dyDescent="0.3">
      <c r="A1313" s="82" t="str">
        <f t="shared" si="40"/>
        <v>2016</v>
      </c>
      <c r="B1313" s="72" t="s">
        <v>131</v>
      </c>
      <c r="C1313" s="73" t="s">
        <v>132</v>
      </c>
      <c r="D1313" s="74" t="str">
        <f t="shared" si="41"/>
        <v>jun/2016</v>
      </c>
      <c r="E1313" s="53">
        <v>42528</v>
      </c>
      <c r="F1313" s="75" t="s">
        <v>133</v>
      </c>
      <c r="G1313" s="72"/>
      <c r="H1313" s="49" t="s">
        <v>539</v>
      </c>
      <c r="I1313" s="49" t="s">
        <v>135</v>
      </c>
      <c r="J1313" s="76">
        <v>-1420.69</v>
      </c>
      <c r="K1313" s="83" t="str">
        <f>IFERROR(IFERROR(VLOOKUP(I1313,'DE-PARA'!B:D,3,0),VLOOKUP(I1313,'DE-PARA'!C:D,2,0)),"NÃO ENCONTRADO")</f>
        <v>Pessoal</v>
      </c>
      <c r="L1313" s="50" t="str">
        <f>VLOOKUP(K1313,'Base -Receita-Despesa'!$B:$P,1,FALSE)</f>
        <v>Pessoal</v>
      </c>
    </row>
    <row r="1314" spans="1:12" ht="15" customHeight="1" x14ac:dyDescent="0.3">
      <c r="A1314" s="82" t="str">
        <f t="shared" si="40"/>
        <v>2016</v>
      </c>
      <c r="B1314" s="72" t="s">
        <v>131</v>
      </c>
      <c r="C1314" s="73" t="s">
        <v>132</v>
      </c>
      <c r="D1314" s="74" t="str">
        <f t="shared" si="41"/>
        <v>jun/2016</v>
      </c>
      <c r="E1314" s="53">
        <v>42528</v>
      </c>
      <c r="F1314" s="75" t="s">
        <v>133</v>
      </c>
      <c r="G1314" s="72"/>
      <c r="H1314" s="49" t="s">
        <v>1068</v>
      </c>
      <c r="I1314" s="49" t="s">
        <v>135</v>
      </c>
      <c r="J1314" s="76">
        <v>-2357.2600000000002</v>
      </c>
      <c r="K1314" s="83" t="str">
        <f>IFERROR(IFERROR(VLOOKUP(I1314,'DE-PARA'!B:D,3,0),VLOOKUP(I1314,'DE-PARA'!C:D,2,0)),"NÃO ENCONTRADO")</f>
        <v>Pessoal</v>
      </c>
      <c r="L1314" s="50" t="str">
        <f>VLOOKUP(K1314,'Base -Receita-Despesa'!$B:$P,1,FALSE)</f>
        <v>Pessoal</v>
      </c>
    </row>
    <row r="1315" spans="1:12" ht="15" customHeight="1" x14ac:dyDescent="0.3">
      <c r="A1315" s="82" t="str">
        <f t="shared" si="40"/>
        <v>2016</v>
      </c>
      <c r="B1315" s="72" t="s">
        <v>131</v>
      </c>
      <c r="C1315" s="73" t="s">
        <v>132</v>
      </c>
      <c r="D1315" s="74" t="str">
        <f t="shared" si="41"/>
        <v>jun/2016</v>
      </c>
      <c r="E1315" s="53">
        <v>42528</v>
      </c>
      <c r="F1315" s="75" t="s">
        <v>133</v>
      </c>
      <c r="G1315" s="72"/>
      <c r="H1315" s="49" t="s">
        <v>221</v>
      </c>
      <c r="I1315" s="49" t="s">
        <v>135</v>
      </c>
      <c r="J1315" s="76">
        <v>-6110.47</v>
      </c>
      <c r="K1315" s="83" t="str">
        <f>IFERROR(IFERROR(VLOOKUP(I1315,'DE-PARA'!B:D,3,0),VLOOKUP(I1315,'DE-PARA'!C:D,2,0)),"NÃO ENCONTRADO")</f>
        <v>Pessoal</v>
      </c>
      <c r="L1315" s="50" t="str">
        <f>VLOOKUP(K1315,'Base -Receita-Despesa'!$B:$P,1,FALSE)</f>
        <v>Pessoal</v>
      </c>
    </row>
    <row r="1316" spans="1:12" ht="15" customHeight="1" x14ac:dyDescent="0.3">
      <c r="A1316" s="82" t="str">
        <f t="shared" si="40"/>
        <v>2016</v>
      </c>
      <c r="B1316" s="72" t="s">
        <v>131</v>
      </c>
      <c r="C1316" s="73" t="s">
        <v>132</v>
      </c>
      <c r="D1316" s="74" t="str">
        <f t="shared" si="41"/>
        <v>jun/2016</v>
      </c>
      <c r="E1316" s="53">
        <v>42528</v>
      </c>
      <c r="F1316" s="75" t="s">
        <v>133</v>
      </c>
      <c r="G1316" s="72"/>
      <c r="H1316" s="49" t="s">
        <v>234</v>
      </c>
      <c r="I1316" s="49" t="s">
        <v>135</v>
      </c>
      <c r="J1316" s="76">
        <v>-3055.08</v>
      </c>
      <c r="K1316" s="83" t="str">
        <f>IFERROR(IFERROR(VLOOKUP(I1316,'DE-PARA'!B:D,3,0),VLOOKUP(I1316,'DE-PARA'!C:D,2,0)),"NÃO ENCONTRADO")</f>
        <v>Pessoal</v>
      </c>
      <c r="L1316" s="50" t="str">
        <f>VLOOKUP(K1316,'Base -Receita-Despesa'!$B:$P,1,FALSE)</f>
        <v>Pessoal</v>
      </c>
    </row>
    <row r="1317" spans="1:12" ht="15" customHeight="1" x14ac:dyDescent="0.3">
      <c r="A1317" s="82" t="str">
        <f t="shared" si="40"/>
        <v>2016</v>
      </c>
      <c r="B1317" s="72" t="s">
        <v>131</v>
      </c>
      <c r="C1317" s="73" t="s">
        <v>132</v>
      </c>
      <c r="D1317" s="74" t="str">
        <f t="shared" si="41"/>
        <v>jun/2016</v>
      </c>
      <c r="E1317" s="53">
        <v>42528</v>
      </c>
      <c r="F1317" s="75" t="s">
        <v>133</v>
      </c>
      <c r="G1317" s="72"/>
      <c r="H1317" s="49" t="s">
        <v>1069</v>
      </c>
      <c r="I1317" s="49" t="s">
        <v>135</v>
      </c>
      <c r="J1317" s="76">
        <v>-1756.73</v>
      </c>
      <c r="K1317" s="83" t="str">
        <f>IFERROR(IFERROR(VLOOKUP(I1317,'DE-PARA'!B:D,3,0),VLOOKUP(I1317,'DE-PARA'!C:D,2,0)),"NÃO ENCONTRADO")</f>
        <v>Pessoal</v>
      </c>
      <c r="L1317" s="50" t="str">
        <f>VLOOKUP(K1317,'Base -Receita-Despesa'!$B:$P,1,FALSE)</f>
        <v>Pessoal</v>
      </c>
    </row>
    <row r="1318" spans="1:12" ht="15" customHeight="1" x14ac:dyDescent="0.3">
      <c r="A1318" s="82" t="str">
        <f t="shared" si="40"/>
        <v>2016</v>
      </c>
      <c r="B1318" s="72" t="s">
        <v>131</v>
      </c>
      <c r="C1318" s="73" t="s">
        <v>132</v>
      </c>
      <c r="D1318" s="74" t="str">
        <f t="shared" si="41"/>
        <v>jun/2016</v>
      </c>
      <c r="E1318" s="53">
        <v>42528</v>
      </c>
      <c r="F1318" s="75" t="s">
        <v>133</v>
      </c>
      <c r="G1318" s="72"/>
      <c r="H1318" s="49" t="s">
        <v>1070</v>
      </c>
      <c r="I1318" s="49" t="s">
        <v>135</v>
      </c>
      <c r="J1318" s="76">
        <v>-2599.29</v>
      </c>
      <c r="K1318" s="83" t="str">
        <f>IFERROR(IFERROR(VLOOKUP(I1318,'DE-PARA'!B:D,3,0),VLOOKUP(I1318,'DE-PARA'!C:D,2,0)),"NÃO ENCONTRADO")</f>
        <v>Pessoal</v>
      </c>
      <c r="L1318" s="50" t="str">
        <f>VLOOKUP(K1318,'Base -Receita-Despesa'!$B:$P,1,FALSE)</f>
        <v>Pessoal</v>
      </c>
    </row>
    <row r="1319" spans="1:12" ht="15" customHeight="1" x14ac:dyDescent="0.3">
      <c r="A1319" s="82" t="str">
        <f t="shared" si="40"/>
        <v>2016</v>
      </c>
      <c r="B1319" s="72" t="s">
        <v>131</v>
      </c>
      <c r="C1319" s="73" t="s">
        <v>132</v>
      </c>
      <c r="D1319" s="74" t="str">
        <f t="shared" si="41"/>
        <v>jun/2016</v>
      </c>
      <c r="E1319" s="53">
        <v>42528</v>
      </c>
      <c r="F1319" s="75" t="s">
        <v>133</v>
      </c>
      <c r="G1319" s="72"/>
      <c r="H1319" s="49" t="s">
        <v>681</v>
      </c>
      <c r="I1319" s="49" t="s">
        <v>135</v>
      </c>
      <c r="J1319" s="76">
        <v>-3254.28</v>
      </c>
      <c r="K1319" s="83" t="str">
        <f>IFERROR(IFERROR(VLOOKUP(I1319,'DE-PARA'!B:D,3,0),VLOOKUP(I1319,'DE-PARA'!C:D,2,0)),"NÃO ENCONTRADO")</f>
        <v>Pessoal</v>
      </c>
      <c r="L1319" s="50" t="str">
        <f>VLOOKUP(K1319,'Base -Receita-Despesa'!$B:$P,1,FALSE)</f>
        <v>Pessoal</v>
      </c>
    </row>
    <row r="1320" spans="1:12" ht="15" customHeight="1" x14ac:dyDescent="0.3">
      <c r="A1320" s="82" t="str">
        <f t="shared" si="40"/>
        <v>2016</v>
      </c>
      <c r="B1320" s="72" t="s">
        <v>131</v>
      </c>
      <c r="C1320" s="73" t="s">
        <v>132</v>
      </c>
      <c r="D1320" s="74" t="str">
        <f t="shared" si="41"/>
        <v>jun/2016</v>
      </c>
      <c r="E1320" s="53">
        <v>42528</v>
      </c>
      <c r="F1320" s="75" t="s">
        <v>133</v>
      </c>
      <c r="G1320" s="72"/>
      <c r="H1320" s="49" t="s">
        <v>1071</v>
      </c>
      <c r="I1320" s="49" t="s">
        <v>135</v>
      </c>
      <c r="J1320" s="76">
        <v>-824.9</v>
      </c>
      <c r="K1320" s="83" t="str">
        <f>IFERROR(IFERROR(VLOOKUP(I1320,'DE-PARA'!B:D,3,0),VLOOKUP(I1320,'DE-PARA'!C:D,2,0)),"NÃO ENCONTRADO")</f>
        <v>Pessoal</v>
      </c>
      <c r="L1320" s="50" t="str">
        <f>VLOOKUP(K1320,'Base -Receita-Despesa'!$B:$P,1,FALSE)</f>
        <v>Pessoal</v>
      </c>
    </row>
    <row r="1321" spans="1:12" ht="15" customHeight="1" x14ac:dyDescent="0.3">
      <c r="A1321" s="82" t="str">
        <f t="shared" si="40"/>
        <v>2016</v>
      </c>
      <c r="B1321" s="72" t="s">
        <v>131</v>
      </c>
      <c r="C1321" s="73" t="s">
        <v>132</v>
      </c>
      <c r="D1321" s="74" t="str">
        <f t="shared" si="41"/>
        <v>jun/2016</v>
      </c>
      <c r="E1321" s="53">
        <v>42528</v>
      </c>
      <c r="F1321" s="75" t="s">
        <v>133</v>
      </c>
      <c r="G1321" s="72"/>
      <c r="H1321" s="49" t="s">
        <v>1072</v>
      </c>
      <c r="I1321" s="49" t="s">
        <v>135</v>
      </c>
      <c r="J1321" s="76">
        <v>-1091.75</v>
      </c>
      <c r="K1321" s="83" t="str">
        <f>IFERROR(IFERROR(VLOOKUP(I1321,'DE-PARA'!B:D,3,0),VLOOKUP(I1321,'DE-PARA'!C:D,2,0)),"NÃO ENCONTRADO")</f>
        <v>Pessoal</v>
      </c>
      <c r="L1321" s="50" t="str">
        <f>VLOOKUP(K1321,'Base -Receita-Despesa'!$B:$P,1,FALSE)</f>
        <v>Pessoal</v>
      </c>
    </row>
    <row r="1322" spans="1:12" ht="15" customHeight="1" x14ac:dyDescent="0.3">
      <c r="A1322" s="82" t="str">
        <f t="shared" si="40"/>
        <v>2016</v>
      </c>
      <c r="B1322" s="72" t="s">
        <v>131</v>
      </c>
      <c r="C1322" s="73" t="s">
        <v>132</v>
      </c>
      <c r="D1322" s="74" t="str">
        <f t="shared" si="41"/>
        <v>jun/2016</v>
      </c>
      <c r="E1322" s="53">
        <v>42528</v>
      </c>
      <c r="F1322" s="75" t="s">
        <v>133</v>
      </c>
      <c r="G1322" s="72"/>
      <c r="H1322" s="49" t="s">
        <v>1073</v>
      </c>
      <c r="I1322" s="49" t="s">
        <v>135</v>
      </c>
      <c r="J1322" s="76">
        <v>-1050.9100000000001</v>
      </c>
      <c r="K1322" s="83" t="str">
        <f>IFERROR(IFERROR(VLOOKUP(I1322,'DE-PARA'!B:D,3,0),VLOOKUP(I1322,'DE-PARA'!C:D,2,0)),"NÃO ENCONTRADO")</f>
        <v>Pessoal</v>
      </c>
      <c r="L1322" s="50" t="str">
        <f>VLOOKUP(K1322,'Base -Receita-Despesa'!$B:$P,1,FALSE)</f>
        <v>Pessoal</v>
      </c>
    </row>
    <row r="1323" spans="1:12" ht="15" customHeight="1" x14ac:dyDescent="0.3">
      <c r="A1323" s="82" t="str">
        <f t="shared" si="40"/>
        <v>2016</v>
      </c>
      <c r="B1323" s="72" t="s">
        <v>131</v>
      </c>
      <c r="C1323" s="73" t="s">
        <v>132</v>
      </c>
      <c r="D1323" s="74" t="str">
        <f t="shared" si="41"/>
        <v>jun/2016</v>
      </c>
      <c r="E1323" s="53">
        <v>42528</v>
      </c>
      <c r="F1323" s="75" t="s">
        <v>133</v>
      </c>
      <c r="G1323" s="72"/>
      <c r="H1323" s="49" t="s">
        <v>1074</v>
      </c>
      <c r="I1323" s="49" t="s">
        <v>135</v>
      </c>
      <c r="J1323" s="76">
        <v>-1349.65</v>
      </c>
      <c r="K1323" s="83" t="str">
        <f>IFERROR(IFERROR(VLOOKUP(I1323,'DE-PARA'!B:D,3,0),VLOOKUP(I1323,'DE-PARA'!C:D,2,0)),"NÃO ENCONTRADO")</f>
        <v>Pessoal</v>
      </c>
      <c r="L1323" s="50" t="str">
        <f>VLOOKUP(K1323,'Base -Receita-Despesa'!$B:$P,1,FALSE)</f>
        <v>Pessoal</v>
      </c>
    </row>
    <row r="1324" spans="1:12" ht="15" customHeight="1" x14ac:dyDescent="0.3">
      <c r="A1324" s="82" t="str">
        <f t="shared" si="40"/>
        <v>2016</v>
      </c>
      <c r="B1324" s="72" t="s">
        <v>131</v>
      </c>
      <c r="C1324" s="73" t="s">
        <v>132</v>
      </c>
      <c r="D1324" s="74" t="str">
        <f t="shared" si="41"/>
        <v>jun/2016</v>
      </c>
      <c r="E1324" s="53">
        <v>42528</v>
      </c>
      <c r="F1324" s="75" t="s">
        <v>133</v>
      </c>
      <c r="G1324" s="72"/>
      <c r="H1324" s="49" t="s">
        <v>1075</v>
      </c>
      <c r="I1324" s="49" t="s">
        <v>135</v>
      </c>
      <c r="J1324" s="76">
        <v>-1214.71</v>
      </c>
      <c r="K1324" s="83" t="str">
        <f>IFERROR(IFERROR(VLOOKUP(I1324,'DE-PARA'!B:D,3,0),VLOOKUP(I1324,'DE-PARA'!C:D,2,0)),"NÃO ENCONTRADO")</f>
        <v>Pessoal</v>
      </c>
      <c r="L1324" s="50" t="str">
        <f>VLOOKUP(K1324,'Base -Receita-Despesa'!$B:$P,1,FALSE)</f>
        <v>Pessoal</v>
      </c>
    </row>
    <row r="1325" spans="1:12" ht="15" customHeight="1" x14ac:dyDescent="0.3">
      <c r="A1325" s="82" t="str">
        <f t="shared" si="40"/>
        <v>2016</v>
      </c>
      <c r="B1325" s="72" t="s">
        <v>131</v>
      </c>
      <c r="C1325" s="73" t="s">
        <v>132</v>
      </c>
      <c r="D1325" s="74" t="str">
        <f t="shared" si="41"/>
        <v>jun/2016</v>
      </c>
      <c r="E1325" s="53">
        <v>42528</v>
      </c>
      <c r="F1325" s="75" t="s">
        <v>133</v>
      </c>
      <c r="G1325" s="72"/>
      <c r="H1325" s="49" t="s">
        <v>126</v>
      </c>
      <c r="I1325" s="49" t="s">
        <v>135</v>
      </c>
      <c r="J1325" s="76">
        <v>-1326.81</v>
      </c>
      <c r="K1325" s="83" t="str">
        <f>IFERROR(IFERROR(VLOOKUP(I1325,'DE-PARA'!B:D,3,0),VLOOKUP(I1325,'DE-PARA'!C:D,2,0)),"NÃO ENCONTRADO")</f>
        <v>Pessoal</v>
      </c>
      <c r="L1325" s="50" t="str">
        <f>VLOOKUP(K1325,'Base -Receita-Despesa'!$B:$P,1,FALSE)</f>
        <v>Pessoal</v>
      </c>
    </row>
    <row r="1326" spans="1:12" ht="15" customHeight="1" x14ac:dyDescent="0.3">
      <c r="A1326" s="82" t="str">
        <f t="shared" si="40"/>
        <v>2016</v>
      </c>
      <c r="B1326" s="72" t="s">
        <v>131</v>
      </c>
      <c r="C1326" s="73" t="s">
        <v>132</v>
      </c>
      <c r="D1326" s="74" t="str">
        <f t="shared" si="41"/>
        <v>jun/2016</v>
      </c>
      <c r="E1326" s="53">
        <v>42528</v>
      </c>
      <c r="F1326" s="75" t="s">
        <v>125</v>
      </c>
      <c r="G1326" s="72"/>
      <c r="H1326" s="49" t="s">
        <v>1076</v>
      </c>
      <c r="I1326" s="49" t="s">
        <v>127</v>
      </c>
      <c r="J1326" s="76">
        <v>-13697.61</v>
      </c>
      <c r="K1326" s="83" t="str">
        <f>IFERROR(IFERROR(VLOOKUP(I1326,'DE-PARA'!B:D,3,0),VLOOKUP(I1326,'DE-PARA'!C:D,2,0)),"NÃO ENCONTRADO")</f>
        <v>Pessoal</v>
      </c>
      <c r="L1326" s="50" t="str">
        <f>VLOOKUP(K1326,'Base -Receita-Despesa'!$B:$P,1,FALSE)</f>
        <v>Pessoal</v>
      </c>
    </row>
    <row r="1327" spans="1:12" ht="15" customHeight="1" x14ac:dyDescent="0.3">
      <c r="A1327" s="82" t="str">
        <f t="shared" si="40"/>
        <v>2016</v>
      </c>
      <c r="B1327" s="72" t="s">
        <v>131</v>
      </c>
      <c r="C1327" s="73" t="s">
        <v>132</v>
      </c>
      <c r="D1327" s="74" t="str">
        <f t="shared" si="41"/>
        <v>jun/2016</v>
      </c>
      <c r="E1327" s="53">
        <v>42528</v>
      </c>
      <c r="F1327" s="75" t="s">
        <v>1054</v>
      </c>
      <c r="G1327" s="72"/>
      <c r="H1327" s="49" t="s">
        <v>1055</v>
      </c>
      <c r="I1327" s="49" t="s">
        <v>1056</v>
      </c>
      <c r="J1327" s="76">
        <v>248608.03</v>
      </c>
      <c r="K1327" s="83" t="str">
        <f>IFERROR(IFERROR(VLOOKUP(I1327,'DE-PARA'!B:D,3,0),VLOOKUP(I1327,'DE-PARA'!C:D,2,0)),"NÃO ENCONTRADO")</f>
        <v>ENTRADA CONTA APLICAÇÃO (+)</v>
      </c>
      <c r="L1327" s="50" t="str">
        <f>VLOOKUP(K1327,'Base -Receita-Despesa'!$B:$P,1,FALSE)</f>
        <v>ENTRADA CONTA APLICAÇÃO (+)</v>
      </c>
    </row>
    <row r="1328" spans="1:12" ht="15" customHeight="1" x14ac:dyDescent="0.3">
      <c r="A1328" s="82" t="str">
        <f t="shared" si="40"/>
        <v>2016</v>
      </c>
      <c r="B1328" s="72" t="s">
        <v>131</v>
      </c>
      <c r="C1328" s="73" t="s">
        <v>132</v>
      </c>
      <c r="D1328" s="74" t="str">
        <f t="shared" si="41"/>
        <v>jun/2016</v>
      </c>
      <c r="E1328" s="53">
        <v>42528</v>
      </c>
      <c r="F1328" s="75" t="s">
        <v>146</v>
      </c>
      <c r="G1328" s="72"/>
      <c r="H1328" s="49" t="s">
        <v>147</v>
      </c>
      <c r="I1328" s="49" t="s">
        <v>148</v>
      </c>
      <c r="J1328" s="76">
        <v>-2442.48</v>
      </c>
      <c r="K1328" s="83" t="str">
        <f>IFERROR(IFERROR(VLOOKUP(I1328,'DE-PARA'!B:D,3,0),VLOOKUP(I1328,'DE-PARA'!C:D,2,0)),"NÃO ENCONTRADO")</f>
        <v>Concessionárias (água, luz e telefone)</v>
      </c>
      <c r="L1328" s="50" t="str">
        <f>VLOOKUP(K1328,'Base -Receita-Despesa'!$B:$P,1,FALSE)</f>
        <v>Concessionárias (água, luz e telefone)</v>
      </c>
    </row>
    <row r="1329" spans="1:12" ht="15" customHeight="1" x14ac:dyDescent="0.3">
      <c r="A1329" s="82" t="str">
        <f t="shared" si="40"/>
        <v>2016</v>
      </c>
      <c r="B1329" s="72" t="s">
        <v>131</v>
      </c>
      <c r="C1329" s="73" t="s">
        <v>132</v>
      </c>
      <c r="D1329" s="74" t="str">
        <f t="shared" si="41"/>
        <v>jun/2016</v>
      </c>
      <c r="E1329" s="53">
        <v>42528</v>
      </c>
      <c r="F1329" s="75" t="s">
        <v>828</v>
      </c>
      <c r="G1329" s="72"/>
      <c r="H1329" s="49" t="s">
        <v>1077</v>
      </c>
      <c r="I1329" s="49" t="s">
        <v>830</v>
      </c>
      <c r="J1329" s="76">
        <v>-236.64</v>
      </c>
      <c r="K1329" s="83" t="str">
        <f>IFERROR(IFERROR(VLOOKUP(I1329,'DE-PARA'!B:D,3,0),VLOOKUP(I1329,'DE-PARA'!C:D,2,0)),"NÃO ENCONTRADO")</f>
        <v>Pessoal</v>
      </c>
      <c r="L1329" s="50" t="str">
        <f>VLOOKUP(K1329,'Base -Receita-Despesa'!$B:$P,1,FALSE)</f>
        <v>Pessoal</v>
      </c>
    </row>
    <row r="1330" spans="1:12" ht="15" customHeight="1" x14ac:dyDescent="0.3">
      <c r="A1330" s="82" t="str">
        <f t="shared" si="40"/>
        <v>2016</v>
      </c>
      <c r="B1330" s="72" t="s">
        <v>131</v>
      </c>
      <c r="C1330" s="73" t="s">
        <v>132</v>
      </c>
      <c r="D1330" s="74" t="str">
        <f t="shared" si="41"/>
        <v>jun/2016</v>
      </c>
      <c r="E1330" s="53">
        <v>42528</v>
      </c>
      <c r="F1330" s="75" t="s">
        <v>133</v>
      </c>
      <c r="G1330" s="72"/>
      <c r="H1330" s="49" t="s">
        <v>1078</v>
      </c>
      <c r="I1330" s="49" t="s">
        <v>135</v>
      </c>
      <c r="J1330" s="76">
        <v>-3808.98</v>
      </c>
      <c r="K1330" s="83" t="str">
        <f>IFERROR(IFERROR(VLOOKUP(I1330,'DE-PARA'!B:D,3,0),VLOOKUP(I1330,'DE-PARA'!C:D,2,0)),"NÃO ENCONTRADO")</f>
        <v>Pessoal</v>
      </c>
      <c r="L1330" s="50" t="str">
        <f>VLOOKUP(K1330,'Base -Receita-Despesa'!$B:$P,1,FALSE)</f>
        <v>Pessoal</v>
      </c>
    </row>
    <row r="1331" spans="1:12" ht="15" customHeight="1" x14ac:dyDescent="0.3">
      <c r="A1331" s="82" t="str">
        <f t="shared" si="40"/>
        <v>2016</v>
      </c>
      <c r="B1331" s="72" t="s">
        <v>131</v>
      </c>
      <c r="C1331" s="73" t="s">
        <v>132</v>
      </c>
      <c r="D1331" s="74" t="str">
        <f t="shared" si="41"/>
        <v>jun/2016</v>
      </c>
      <c r="E1331" s="53">
        <v>42528</v>
      </c>
      <c r="F1331" s="75" t="s">
        <v>133</v>
      </c>
      <c r="G1331" s="72"/>
      <c r="H1331" s="49" t="s">
        <v>867</v>
      </c>
      <c r="I1331" s="49" t="s">
        <v>135</v>
      </c>
      <c r="J1331" s="76">
        <v>-3580.49</v>
      </c>
      <c r="K1331" s="83" t="str">
        <f>IFERROR(IFERROR(VLOOKUP(I1331,'DE-PARA'!B:D,3,0),VLOOKUP(I1331,'DE-PARA'!C:D,2,0)),"NÃO ENCONTRADO")</f>
        <v>Pessoal</v>
      </c>
      <c r="L1331" s="50" t="str">
        <f>VLOOKUP(K1331,'Base -Receita-Despesa'!$B:$P,1,FALSE)</f>
        <v>Pessoal</v>
      </c>
    </row>
    <row r="1332" spans="1:12" ht="15" customHeight="1" x14ac:dyDescent="0.3">
      <c r="A1332" s="82" t="str">
        <f t="shared" si="40"/>
        <v>2016</v>
      </c>
      <c r="B1332" s="72" t="s">
        <v>131</v>
      </c>
      <c r="C1332" s="73" t="s">
        <v>132</v>
      </c>
      <c r="D1332" s="74" t="str">
        <f t="shared" si="41"/>
        <v>jun/2016</v>
      </c>
      <c r="E1332" s="53">
        <v>42528</v>
      </c>
      <c r="F1332" s="75" t="s">
        <v>133</v>
      </c>
      <c r="G1332" s="72"/>
      <c r="H1332" s="49" t="s">
        <v>1079</v>
      </c>
      <c r="I1332" s="49" t="s">
        <v>135</v>
      </c>
      <c r="J1332" s="76">
        <v>-1333.85</v>
      </c>
      <c r="K1332" s="83" t="str">
        <f>IFERROR(IFERROR(VLOOKUP(I1332,'DE-PARA'!B:D,3,0),VLOOKUP(I1332,'DE-PARA'!C:D,2,0)),"NÃO ENCONTRADO")</f>
        <v>Pessoal</v>
      </c>
      <c r="L1332" s="50" t="str">
        <f>VLOOKUP(K1332,'Base -Receita-Despesa'!$B:$P,1,FALSE)</f>
        <v>Pessoal</v>
      </c>
    </row>
    <row r="1333" spans="1:12" ht="15" customHeight="1" x14ac:dyDescent="0.3">
      <c r="A1333" s="82" t="str">
        <f t="shared" si="40"/>
        <v>2016</v>
      </c>
      <c r="B1333" s="72" t="s">
        <v>131</v>
      </c>
      <c r="C1333" s="73" t="s">
        <v>132</v>
      </c>
      <c r="D1333" s="74" t="str">
        <f t="shared" si="41"/>
        <v>jun/2016</v>
      </c>
      <c r="E1333" s="53">
        <v>42528</v>
      </c>
      <c r="F1333" s="75" t="s">
        <v>133</v>
      </c>
      <c r="G1333" s="72"/>
      <c r="H1333" s="49" t="s">
        <v>543</v>
      </c>
      <c r="I1333" s="49" t="s">
        <v>135</v>
      </c>
      <c r="J1333" s="76">
        <v>-3057.45</v>
      </c>
      <c r="K1333" s="83" t="str">
        <f>IFERROR(IFERROR(VLOOKUP(I1333,'DE-PARA'!B:D,3,0),VLOOKUP(I1333,'DE-PARA'!C:D,2,0)),"NÃO ENCONTRADO")</f>
        <v>Pessoal</v>
      </c>
      <c r="L1333" s="50" t="str">
        <f>VLOOKUP(K1333,'Base -Receita-Despesa'!$B:$P,1,FALSE)</f>
        <v>Pessoal</v>
      </c>
    </row>
    <row r="1334" spans="1:12" ht="15" customHeight="1" x14ac:dyDescent="0.3">
      <c r="A1334" s="82" t="str">
        <f t="shared" si="40"/>
        <v>2016</v>
      </c>
      <c r="B1334" s="72" t="s">
        <v>131</v>
      </c>
      <c r="C1334" s="73" t="s">
        <v>132</v>
      </c>
      <c r="D1334" s="74" t="str">
        <f t="shared" si="41"/>
        <v>jun/2016</v>
      </c>
      <c r="E1334" s="53">
        <v>42528</v>
      </c>
      <c r="F1334" s="75" t="s">
        <v>133</v>
      </c>
      <c r="G1334" s="72"/>
      <c r="H1334" s="49" t="s">
        <v>1080</v>
      </c>
      <c r="I1334" s="49" t="s">
        <v>135</v>
      </c>
      <c r="J1334" s="76">
        <v>-2303.29</v>
      </c>
      <c r="K1334" s="83" t="str">
        <f>IFERROR(IFERROR(VLOOKUP(I1334,'DE-PARA'!B:D,3,0),VLOOKUP(I1334,'DE-PARA'!C:D,2,0)),"NÃO ENCONTRADO")</f>
        <v>Pessoal</v>
      </c>
      <c r="L1334" s="50" t="str">
        <f>VLOOKUP(K1334,'Base -Receita-Despesa'!$B:$P,1,FALSE)</f>
        <v>Pessoal</v>
      </c>
    </row>
    <row r="1335" spans="1:12" ht="15" customHeight="1" x14ac:dyDescent="0.3">
      <c r="A1335" s="82" t="str">
        <f t="shared" si="40"/>
        <v>2016</v>
      </c>
      <c r="B1335" s="72" t="s">
        <v>131</v>
      </c>
      <c r="C1335" s="73" t="s">
        <v>132</v>
      </c>
      <c r="D1335" s="74" t="str">
        <f t="shared" si="41"/>
        <v>jun/2016</v>
      </c>
      <c r="E1335" s="53">
        <v>42528</v>
      </c>
      <c r="F1335" s="75" t="s">
        <v>133</v>
      </c>
      <c r="G1335" s="72"/>
      <c r="H1335" s="49" t="s">
        <v>1030</v>
      </c>
      <c r="I1335" s="49" t="s">
        <v>135</v>
      </c>
      <c r="J1335" s="76">
        <v>-1220.57</v>
      </c>
      <c r="K1335" s="83" t="str">
        <f>IFERROR(IFERROR(VLOOKUP(I1335,'DE-PARA'!B:D,3,0),VLOOKUP(I1335,'DE-PARA'!C:D,2,0)),"NÃO ENCONTRADO")</f>
        <v>Pessoal</v>
      </c>
      <c r="L1335" s="50" t="str">
        <f>VLOOKUP(K1335,'Base -Receita-Despesa'!$B:$P,1,FALSE)</f>
        <v>Pessoal</v>
      </c>
    </row>
    <row r="1336" spans="1:12" ht="15" customHeight="1" x14ac:dyDescent="0.3">
      <c r="A1336" s="82" t="str">
        <f t="shared" si="40"/>
        <v>2016</v>
      </c>
      <c r="B1336" s="72" t="s">
        <v>131</v>
      </c>
      <c r="C1336" s="73" t="s">
        <v>132</v>
      </c>
      <c r="D1336" s="74" t="str">
        <f t="shared" si="41"/>
        <v>jun/2016</v>
      </c>
      <c r="E1336" s="53">
        <v>42528</v>
      </c>
      <c r="F1336" s="75" t="s">
        <v>133</v>
      </c>
      <c r="G1336" s="72"/>
      <c r="H1336" s="49" t="s">
        <v>384</v>
      </c>
      <c r="I1336" s="49" t="s">
        <v>135</v>
      </c>
      <c r="J1336" s="76">
        <v>-1349.65</v>
      </c>
      <c r="K1336" s="83" t="str">
        <f>IFERROR(IFERROR(VLOOKUP(I1336,'DE-PARA'!B:D,3,0),VLOOKUP(I1336,'DE-PARA'!C:D,2,0)),"NÃO ENCONTRADO")</f>
        <v>Pessoal</v>
      </c>
      <c r="L1336" s="50" t="str">
        <f>VLOOKUP(K1336,'Base -Receita-Despesa'!$B:$P,1,FALSE)</f>
        <v>Pessoal</v>
      </c>
    </row>
    <row r="1337" spans="1:12" ht="15" customHeight="1" x14ac:dyDescent="0.3">
      <c r="A1337" s="82" t="str">
        <f t="shared" si="40"/>
        <v>2016</v>
      </c>
      <c r="B1337" s="72" t="s">
        <v>131</v>
      </c>
      <c r="C1337" s="73" t="s">
        <v>132</v>
      </c>
      <c r="D1337" s="74" t="str">
        <f t="shared" si="41"/>
        <v>jun/2016</v>
      </c>
      <c r="E1337" s="53">
        <v>42529</v>
      </c>
      <c r="F1337" s="75" t="s">
        <v>840</v>
      </c>
      <c r="G1337" s="72"/>
      <c r="H1337" s="49" t="s">
        <v>863</v>
      </c>
      <c r="I1337" s="49" t="s">
        <v>129</v>
      </c>
      <c r="J1337" s="76">
        <v>-7.85</v>
      </c>
      <c r="K1337" s="83" t="str">
        <f>IFERROR(IFERROR(VLOOKUP(I1337,'DE-PARA'!B:D,3,0),VLOOKUP(I1337,'DE-PARA'!C:D,2,0)),"NÃO ENCONTRADO")</f>
        <v>Outras Saídas</v>
      </c>
      <c r="L1337" s="50" t="str">
        <f>VLOOKUP(K1337,'Base -Receita-Despesa'!$B:$P,1,FALSE)</f>
        <v>Outras Saídas</v>
      </c>
    </row>
    <row r="1338" spans="1:12" ht="15" customHeight="1" x14ac:dyDescent="0.3">
      <c r="A1338" s="82" t="str">
        <f t="shared" si="40"/>
        <v>2016</v>
      </c>
      <c r="B1338" s="72" t="s">
        <v>131</v>
      </c>
      <c r="C1338" s="73" t="s">
        <v>132</v>
      </c>
      <c r="D1338" s="74" t="str">
        <f t="shared" si="41"/>
        <v>jun/2016</v>
      </c>
      <c r="E1338" s="53">
        <v>42529</v>
      </c>
      <c r="F1338" s="75" t="s">
        <v>1081</v>
      </c>
      <c r="G1338" s="72"/>
      <c r="H1338" s="49" t="s">
        <v>503</v>
      </c>
      <c r="I1338" s="49" t="s">
        <v>159</v>
      </c>
      <c r="J1338" s="76">
        <v>-246.27</v>
      </c>
      <c r="K1338" s="83" t="str">
        <f>IFERROR(IFERROR(VLOOKUP(I1338,'DE-PARA'!B:D,3,0),VLOOKUP(I1338,'DE-PARA'!C:D,2,0)),"NÃO ENCONTRADO")</f>
        <v>Materiais</v>
      </c>
      <c r="L1338" s="50" t="str">
        <f>VLOOKUP(K1338,'Base -Receita-Despesa'!$B:$P,1,FALSE)</f>
        <v>Materiais</v>
      </c>
    </row>
    <row r="1339" spans="1:12" ht="15" customHeight="1" x14ac:dyDescent="0.3">
      <c r="A1339" s="82" t="str">
        <f t="shared" si="40"/>
        <v>2016</v>
      </c>
      <c r="B1339" s="72" t="s">
        <v>131</v>
      </c>
      <c r="C1339" s="73" t="s">
        <v>132</v>
      </c>
      <c r="D1339" s="74" t="str">
        <f t="shared" si="41"/>
        <v>jun/2016</v>
      </c>
      <c r="E1339" s="53">
        <v>42529</v>
      </c>
      <c r="F1339" s="75" t="s">
        <v>1054</v>
      </c>
      <c r="G1339" s="72"/>
      <c r="H1339" s="49" t="s">
        <v>1055</v>
      </c>
      <c r="I1339" s="49" t="s">
        <v>1056</v>
      </c>
      <c r="J1339" s="76">
        <v>254.12</v>
      </c>
      <c r="K1339" s="83" t="str">
        <f>IFERROR(IFERROR(VLOOKUP(I1339,'DE-PARA'!B:D,3,0),VLOOKUP(I1339,'DE-PARA'!C:D,2,0)),"NÃO ENCONTRADO")</f>
        <v>ENTRADA CONTA APLICAÇÃO (+)</v>
      </c>
      <c r="L1339" s="50" t="str">
        <f>VLOOKUP(K1339,'Base -Receita-Despesa'!$B:$P,1,FALSE)</f>
        <v>ENTRADA CONTA APLICAÇÃO (+)</v>
      </c>
    </row>
    <row r="1340" spans="1:12" ht="15" customHeight="1" x14ac:dyDescent="0.3">
      <c r="A1340" s="82" t="str">
        <f t="shared" si="40"/>
        <v>2016</v>
      </c>
      <c r="B1340" s="72" t="s">
        <v>131</v>
      </c>
      <c r="C1340" s="73" t="s">
        <v>132</v>
      </c>
      <c r="D1340" s="74" t="str">
        <f t="shared" si="41"/>
        <v>jun/2016</v>
      </c>
      <c r="E1340" s="53">
        <v>42530</v>
      </c>
      <c r="F1340" s="75" t="s">
        <v>840</v>
      </c>
      <c r="G1340" s="72"/>
      <c r="H1340" s="49" t="s">
        <v>251</v>
      </c>
      <c r="I1340" s="49" t="s">
        <v>129</v>
      </c>
      <c r="J1340" s="76">
        <v>-77.489999999999995</v>
      </c>
      <c r="K1340" s="83" t="str">
        <f>IFERROR(IFERROR(VLOOKUP(I1340,'DE-PARA'!B:D,3,0),VLOOKUP(I1340,'DE-PARA'!C:D,2,0)),"NÃO ENCONTRADO")</f>
        <v>Outras Saídas</v>
      </c>
      <c r="L1340" s="50" t="str">
        <f>VLOOKUP(K1340,'Base -Receita-Despesa'!$B:$P,1,FALSE)</f>
        <v>Outras Saídas</v>
      </c>
    </row>
    <row r="1341" spans="1:12" ht="15" customHeight="1" x14ac:dyDescent="0.3">
      <c r="A1341" s="82" t="str">
        <f t="shared" si="40"/>
        <v>2016</v>
      </c>
      <c r="B1341" s="72" t="s">
        <v>131</v>
      </c>
      <c r="C1341" s="73" t="s">
        <v>132</v>
      </c>
      <c r="D1341" s="74" t="str">
        <f t="shared" si="41"/>
        <v>jun/2016</v>
      </c>
      <c r="E1341" s="53">
        <v>42530</v>
      </c>
      <c r="F1341" s="75" t="s">
        <v>133</v>
      </c>
      <c r="G1341" s="72"/>
      <c r="H1341" s="49" t="s">
        <v>1082</v>
      </c>
      <c r="I1341" s="49" t="s">
        <v>135</v>
      </c>
      <c r="J1341" s="76">
        <v>-4899.5600000000004</v>
      </c>
      <c r="K1341" s="83" t="str">
        <f>IFERROR(IFERROR(VLOOKUP(I1341,'DE-PARA'!B:D,3,0),VLOOKUP(I1341,'DE-PARA'!C:D,2,0)),"NÃO ENCONTRADO")</f>
        <v>Pessoal</v>
      </c>
      <c r="L1341" s="50" t="str">
        <f>VLOOKUP(K1341,'Base -Receita-Despesa'!$B:$P,1,FALSE)</f>
        <v>Pessoal</v>
      </c>
    </row>
    <row r="1342" spans="1:12" ht="15" customHeight="1" x14ac:dyDescent="0.3">
      <c r="A1342" s="82" t="str">
        <f t="shared" si="40"/>
        <v>2016</v>
      </c>
      <c r="B1342" s="72" t="s">
        <v>131</v>
      </c>
      <c r="C1342" s="73" t="s">
        <v>132</v>
      </c>
      <c r="D1342" s="74" t="str">
        <f t="shared" si="41"/>
        <v>jun/2016</v>
      </c>
      <c r="E1342" s="53">
        <v>42530</v>
      </c>
      <c r="F1342" s="75" t="s">
        <v>1054</v>
      </c>
      <c r="G1342" s="72"/>
      <c r="H1342" s="49" t="s">
        <v>1055</v>
      </c>
      <c r="I1342" s="49" t="s">
        <v>1056</v>
      </c>
      <c r="J1342" s="76">
        <v>4977.05</v>
      </c>
      <c r="K1342" s="83" t="str">
        <f>IFERROR(IFERROR(VLOOKUP(I1342,'DE-PARA'!B:D,3,0),VLOOKUP(I1342,'DE-PARA'!C:D,2,0)),"NÃO ENCONTRADO")</f>
        <v>ENTRADA CONTA APLICAÇÃO (+)</v>
      </c>
      <c r="L1342" s="50" t="str">
        <f>VLOOKUP(K1342,'Base -Receita-Despesa'!$B:$P,1,FALSE)</f>
        <v>ENTRADA CONTA APLICAÇÃO (+)</v>
      </c>
    </row>
    <row r="1343" spans="1:12" ht="15" customHeight="1" x14ac:dyDescent="0.3">
      <c r="A1343" s="82" t="str">
        <f t="shared" si="40"/>
        <v>2016</v>
      </c>
      <c r="B1343" s="72" t="s">
        <v>131</v>
      </c>
      <c r="C1343" s="73" t="s">
        <v>132</v>
      </c>
      <c r="D1343" s="74" t="str">
        <f t="shared" si="41"/>
        <v>jun/2016</v>
      </c>
      <c r="E1343" s="53">
        <v>42531</v>
      </c>
      <c r="F1343" s="75" t="s">
        <v>1045</v>
      </c>
      <c r="G1343" s="72"/>
      <c r="H1343" s="49" t="s">
        <v>1046</v>
      </c>
      <c r="I1343" s="49" t="s">
        <v>121</v>
      </c>
      <c r="J1343" s="76">
        <v>496845.36</v>
      </c>
      <c r="K1343" s="83" t="s">
        <v>93</v>
      </c>
      <c r="L1343" s="50" t="str">
        <f>VLOOKUP(K1343,'Base -Receita-Despesa'!$B:$P,1,FALSE)</f>
        <v>Transferências da c/c para c/a ou c/p (-)</v>
      </c>
    </row>
    <row r="1344" spans="1:12" ht="15" customHeight="1" x14ac:dyDescent="0.3">
      <c r="A1344" s="82" t="str">
        <f t="shared" si="40"/>
        <v>2016</v>
      </c>
      <c r="B1344" s="72" t="s">
        <v>131</v>
      </c>
      <c r="C1344" s="73" t="s">
        <v>132</v>
      </c>
      <c r="D1344" s="74" t="str">
        <f t="shared" si="41"/>
        <v>jun/2016</v>
      </c>
      <c r="E1344" s="53">
        <v>42531</v>
      </c>
      <c r="F1344" s="75" t="s">
        <v>252</v>
      </c>
      <c r="G1344" s="72"/>
      <c r="H1344" s="49" t="s">
        <v>1083</v>
      </c>
      <c r="I1344" s="49" t="s">
        <v>168</v>
      </c>
      <c r="J1344" s="76">
        <v>-3258.16</v>
      </c>
      <c r="K1344" s="83" t="str">
        <f>IFERROR(IFERROR(VLOOKUP(I1344,'DE-PARA'!B:D,3,0),VLOOKUP(I1344,'DE-PARA'!C:D,2,0)),"NÃO ENCONTRADO")</f>
        <v>Pessoal</v>
      </c>
      <c r="L1344" s="50" t="str">
        <f>VLOOKUP(K1344,'Base -Receita-Despesa'!$B:$P,1,FALSE)</f>
        <v>Pessoal</v>
      </c>
    </row>
    <row r="1345" spans="1:12" ht="15" customHeight="1" x14ac:dyDescent="0.3">
      <c r="A1345" s="82" t="str">
        <f t="shared" si="40"/>
        <v>2016</v>
      </c>
      <c r="B1345" s="72" t="s">
        <v>131</v>
      </c>
      <c r="C1345" s="73" t="s">
        <v>132</v>
      </c>
      <c r="D1345" s="74" t="str">
        <f t="shared" si="41"/>
        <v>jun/2016</v>
      </c>
      <c r="E1345" s="53">
        <v>42531</v>
      </c>
      <c r="F1345" s="75" t="s">
        <v>252</v>
      </c>
      <c r="G1345" s="72"/>
      <c r="H1345" s="49" t="s">
        <v>397</v>
      </c>
      <c r="I1345" s="49" t="s">
        <v>168</v>
      </c>
      <c r="J1345" s="76">
        <v>-4900</v>
      </c>
      <c r="K1345" s="83" t="str">
        <f>IFERROR(IFERROR(VLOOKUP(I1345,'DE-PARA'!B:D,3,0),VLOOKUP(I1345,'DE-PARA'!C:D,2,0)),"NÃO ENCONTRADO")</f>
        <v>Pessoal</v>
      </c>
      <c r="L1345" s="50" t="str">
        <f>VLOOKUP(K1345,'Base -Receita-Despesa'!$B:$P,1,FALSE)</f>
        <v>Pessoal</v>
      </c>
    </row>
    <row r="1346" spans="1:12" ht="15" customHeight="1" x14ac:dyDescent="0.3">
      <c r="A1346" s="82" t="str">
        <f t="shared" si="40"/>
        <v>2016</v>
      </c>
      <c r="B1346" s="72" t="s">
        <v>131</v>
      </c>
      <c r="C1346" s="73" t="s">
        <v>132</v>
      </c>
      <c r="D1346" s="74" t="str">
        <f t="shared" si="41"/>
        <v>jun/2016</v>
      </c>
      <c r="E1346" s="53">
        <v>42531</v>
      </c>
      <c r="F1346" s="75" t="s">
        <v>252</v>
      </c>
      <c r="G1346" s="72"/>
      <c r="H1346" s="49" t="s">
        <v>397</v>
      </c>
      <c r="I1346" s="49" t="s">
        <v>168</v>
      </c>
      <c r="J1346" s="76">
        <v>-973.83</v>
      </c>
      <c r="K1346" s="83" t="str">
        <f>IFERROR(IFERROR(VLOOKUP(I1346,'DE-PARA'!B:D,3,0),VLOOKUP(I1346,'DE-PARA'!C:D,2,0)),"NÃO ENCONTRADO")</f>
        <v>Pessoal</v>
      </c>
      <c r="L1346" s="50" t="str">
        <f>VLOOKUP(K1346,'Base -Receita-Despesa'!$B:$P,1,FALSE)</f>
        <v>Pessoal</v>
      </c>
    </row>
    <row r="1347" spans="1:12" ht="15" customHeight="1" x14ac:dyDescent="0.3">
      <c r="A1347" s="82" t="str">
        <f t="shared" si="40"/>
        <v>2016</v>
      </c>
      <c r="B1347" s="72" t="s">
        <v>131</v>
      </c>
      <c r="C1347" s="73" t="s">
        <v>132</v>
      </c>
      <c r="D1347" s="74" t="str">
        <f t="shared" si="41"/>
        <v>jun/2016</v>
      </c>
      <c r="E1347" s="53">
        <v>42531</v>
      </c>
      <c r="F1347" s="75" t="s">
        <v>840</v>
      </c>
      <c r="G1347" s="72"/>
      <c r="H1347" s="49" t="s">
        <v>863</v>
      </c>
      <c r="I1347" s="49" t="s">
        <v>129</v>
      </c>
      <c r="J1347" s="76">
        <v>-7.85</v>
      </c>
      <c r="K1347" s="83" t="str">
        <f>IFERROR(IFERROR(VLOOKUP(I1347,'DE-PARA'!B:D,3,0),VLOOKUP(I1347,'DE-PARA'!C:D,2,0)),"NÃO ENCONTRADO")</f>
        <v>Outras Saídas</v>
      </c>
      <c r="L1347" s="50" t="str">
        <f>VLOOKUP(K1347,'Base -Receita-Despesa'!$B:$P,1,FALSE)</f>
        <v>Outras Saídas</v>
      </c>
    </row>
    <row r="1348" spans="1:12" ht="15" customHeight="1" x14ac:dyDescent="0.3">
      <c r="A1348" s="82" t="str">
        <f t="shared" ref="A1348:A1411" si="42">IF(K1348="NÃO ENCONTRADO",0,RIGHT(D1348,4))</f>
        <v>2016</v>
      </c>
      <c r="B1348" s="72" t="s">
        <v>131</v>
      </c>
      <c r="C1348" s="73" t="s">
        <v>132</v>
      </c>
      <c r="D1348" s="74" t="str">
        <f t="shared" ref="D1348:D1411" si="43">TEXT(E1348,"mmm/aaaa")</f>
        <v>jun/2016</v>
      </c>
      <c r="E1348" s="53">
        <v>42531</v>
      </c>
      <c r="F1348" s="75" t="s">
        <v>840</v>
      </c>
      <c r="G1348" s="72"/>
      <c r="H1348" s="49" t="s">
        <v>863</v>
      </c>
      <c r="I1348" s="49" t="s">
        <v>129</v>
      </c>
      <c r="J1348" s="76">
        <v>-7.85</v>
      </c>
      <c r="K1348" s="83" t="str">
        <f>IFERROR(IFERROR(VLOOKUP(I1348,'DE-PARA'!B:D,3,0),VLOOKUP(I1348,'DE-PARA'!C:D,2,0)),"NÃO ENCONTRADO")</f>
        <v>Outras Saídas</v>
      </c>
      <c r="L1348" s="50" t="str">
        <f>VLOOKUP(K1348,'Base -Receita-Despesa'!$B:$P,1,FALSE)</f>
        <v>Outras Saídas</v>
      </c>
    </row>
    <row r="1349" spans="1:12" ht="15" customHeight="1" x14ac:dyDescent="0.3">
      <c r="A1349" s="82" t="str">
        <f t="shared" si="42"/>
        <v>2016</v>
      </c>
      <c r="B1349" s="72" t="s">
        <v>131</v>
      </c>
      <c r="C1349" s="73" t="s">
        <v>132</v>
      </c>
      <c r="D1349" s="74" t="str">
        <f t="shared" si="43"/>
        <v>jun/2016</v>
      </c>
      <c r="E1349" s="53">
        <v>42531</v>
      </c>
      <c r="F1349" s="75" t="s">
        <v>840</v>
      </c>
      <c r="G1349" s="72"/>
      <c r="H1349" s="49" t="s">
        <v>863</v>
      </c>
      <c r="I1349" s="49" t="s">
        <v>129</v>
      </c>
      <c r="J1349" s="76">
        <v>-7.85</v>
      </c>
      <c r="K1349" s="83" t="str">
        <f>IFERROR(IFERROR(VLOOKUP(I1349,'DE-PARA'!B:D,3,0),VLOOKUP(I1349,'DE-PARA'!C:D,2,0)),"NÃO ENCONTRADO")</f>
        <v>Outras Saídas</v>
      </c>
      <c r="L1349" s="50" t="str">
        <f>VLOOKUP(K1349,'Base -Receita-Despesa'!$B:$P,1,FALSE)</f>
        <v>Outras Saídas</v>
      </c>
    </row>
    <row r="1350" spans="1:12" ht="15" customHeight="1" x14ac:dyDescent="0.3">
      <c r="A1350" s="82" t="str">
        <f t="shared" si="42"/>
        <v>2016</v>
      </c>
      <c r="B1350" s="72" t="s">
        <v>131</v>
      </c>
      <c r="C1350" s="73" t="s">
        <v>132</v>
      </c>
      <c r="D1350" s="74" t="str">
        <f t="shared" si="43"/>
        <v>jun/2016</v>
      </c>
      <c r="E1350" s="53">
        <v>42531</v>
      </c>
      <c r="F1350" s="75" t="s">
        <v>840</v>
      </c>
      <c r="G1350" s="72"/>
      <c r="H1350" s="49" t="s">
        <v>863</v>
      </c>
      <c r="I1350" s="49" t="s">
        <v>129</v>
      </c>
      <c r="J1350" s="76">
        <v>-7.85</v>
      </c>
      <c r="K1350" s="83" t="str">
        <f>IFERROR(IFERROR(VLOOKUP(I1350,'DE-PARA'!B:D,3,0),VLOOKUP(I1350,'DE-PARA'!C:D,2,0)),"NÃO ENCONTRADO")</f>
        <v>Outras Saídas</v>
      </c>
      <c r="L1350" s="50" t="str">
        <f>VLOOKUP(K1350,'Base -Receita-Despesa'!$B:$P,1,FALSE)</f>
        <v>Outras Saídas</v>
      </c>
    </row>
    <row r="1351" spans="1:12" ht="15" customHeight="1" x14ac:dyDescent="0.3">
      <c r="A1351" s="82" t="str">
        <f t="shared" si="42"/>
        <v>2016</v>
      </c>
      <c r="B1351" s="72" t="s">
        <v>131</v>
      </c>
      <c r="C1351" s="73" t="s">
        <v>132</v>
      </c>
      <c r="D1351" s="74" t="str">
        <f t="shared" si="43"/>
        <v>jun/2016</v>
      </c>
      <c r="E1351" s="53">
        <v>42531</v>
      </c>
      <c r="F1351" s="75" t="s">
        <v>133</v>
      </c>
      <c r="G1351" s="72"/>
      <c r="H1351" s="49" t="s">
        <v>1067</v>
      </c>
      <c r="I1351" s="49" t="s">
        <v>135</v>
      </c>
      <c r="J1351" s="76">
        <v>-118072.5</v>
      </c>
      <c r="K1351" s="83" t="str">
        <f>IFERROR(IFERROR(VLOOKUP(I1351,'DE-PARA'!B:D,3,0),VLOOKUP(I1351,'DE-PARA'!C:D,2,0)),"NÃO ENCONTRADO")</f>
        <v>Pessoal</v>
      </c>
      <c r="L1351" s="50" t="str">
        <f>VLOOKUP(K1351,'Base -Receita-Despesa'!$B:$P,1,FALSE)</f>
        <v>Pessoal</v>
      </c>
    </row>
    <row r="1352" spans="1:12" ht="15" customHeight="1" x14ac:dyDescent="0.3">
      <c r="A1352" s="82" t="str">
        <f t="shared" si="42"/>
        <v>2016</v>
      </c>
      <c r="B1352" s="72" t="s">
        <v>131</v>
      </c>
      <c r="C1352" s="73" t="s">
        <v>132</v>
      </c>
      <c r="D1352" s="74" t="str">
        <f t="shared" si="43"/>
        <v>jun/2016</v>
      </c>
      <c r="E1352" s="53">
        <v>42531</v>
      </c>
      <c r="F1352" s="75" t="s">
        <v>252</v>
      </c>
      <c r="G1352" s="72"/>
      <c r="H1352" s="49" t="s">
        <v>1084</v>
      </c>
      <c r="I1352" s="49" t="s">
        <v>168</v>
      </c>
      <c r="J1352" s="76">
        <v>-3258.16</v>
      </c>
      <c r="K1352" s="83" t="str">
        <f>IFERROR(IFERROR(VLOOKUP(I1352,'DE-PARA'!B:D,3,0),VLOOKUP(I1352,'DE-PARA'!C:D,2,0)),"NÃO ENCONTRADO")</f>
        <v>Pessoal</v>
      </c>
      <c r="L1352" s="50" t="str">
        <f>VLOOKUP(K1352,'Base -Receita-Despesa'!$B:$P,1,FALSE)</f>
        <v>Pessoal</v>
      </c>
    </row>
    <row r="1353" spans="1:12" ht="15" customHeight="1" x14ac:dyDescent="0.3">
      <c r="A1353" s="82" t="str">
        <f t="shared" si="42"/>
        <v>2016</v>
      </c>
      <c r="B1353" s="72" t="s">
        <v>131</v>
      </c>
      <c r="C1353" s="73" t="s">
        <v>132</v>
      </c>
      <c r="D1353" s="74" t="str">
        <f t="shared" si="43"/>
        <v>jun/2016</v>
      </c>
      <c r="E1353" s="53">
        <v>42531</v>
      </c>
      <c r="F1353" s="75" t="s">
        <v>828</v>
      </c>
      <c r="G1353" s="72"/>
      <c r="H1353" s="49" t="s">
        <v>1077</v>
      </c>
      <c r="I1353" s="49" t="s">
        <v>830</v>
      </c>
      <c r="J1353" s="76">
        <v>-5863.41</v>
      </c>
      <c r="K1353" s="83" t="str">
        <f>IFERROR(IFERROR(VLOOKUP(I1353,'DE-PARA'!B:D,3,0),VLOOKUP(I1353,'DE-PARA'!C:D,2,0)),"NÃO ENCONTRADO")</f>
        <v>Pessoal</v>
      </c>
      <c r="L1353" s="50" t="str">
        <f>VLOOKUP(K1353,'Base -Receita-Despesa'!$B:$P,1,FALSE)</f>
        <v>Pessoal</v>
      </c>
    </row>
    <row r="1354" spans="1:12" ht="15" customHeight="1" x14ac:dyDescent="0.3">
      <c r="A1354" s="82" t="str">
        <f t="shared" si="42"/>
        <v>2016</v>
      </c>
      <c r="B1354" s="72" t="s">
        <v>131</v>
      </c>
      <c r="C1354" s="73" t="s">
        <v>132</v>
      </c>
      <c r="D1354" s="74" t="str">
        <f t="shared" si="43"/>
        <v>jun/2016</v>
      </c>
      <c r="E1354" s="53">
        <v>42531</v>
      </c>
      <c r="F1354" s="75" t="s">
        <v>252</v>
      </c>
      <c r="G1354" s="72"/>
      <c r="H1354" s="49" t="s">
        <v>1085</v>
      </c>
      <c r="I1354" s="49" t="s">
        <v>168</v>
      </c>
      <c r="J1354" s="76">
        <v>-293.2</v>
      </c>
      <c r="K1354" s="83" t="str">
        <f>IFERROR(IFERROR(VLOOKUP(I1354,'DE-PARA'!B:D,3,0),VLOOKUP(I1354,'DE-PARA'!C:D,2,0)),"NÃO ENCONTRADO")</f>
        <v>Pessoal</v>
      </c>
      <c r="L1354" s="50" t="str">
        <f>VLOOKUP(K1354,'Base -Receita-Despesa'!$B:$P,1,FALSE)</f>
        <v>Pessoal</v>
      </c>
    </row>
    <row r="1355" spans="1:12" ht="15" customHeight="1" x14ac:dyDescent="0.3">
      <c r="A1355" s="82" t="str">
        <f t="shared" si="42"/>
        <v>2016</v>
      </c>
      <c r="B1355" s="72" t="s">
        <v>249</v>
      </c>
      <c r="C1355" s="73" t="s">
        <v>132</v>
      </c>
      <c r="D1355" s="74" t="str">
        <f t="shared" si="43"/>
        <v>jun/2016</v>
      </c>
      <c r="E1355" s="53">
        <v>42531</v>
      </c>
      <c r="F1355" s="75" t="s">
        <v>154</v>
      </c>
      <c r="G1355" s="72"/>
      <c r="H1355" s="49" t="s">
        <v>154</v>
      </c>
      <c r="I1355" s="49" t="s">
        <v>1497</v>
      </c>
      <c r="J1355" s="76">
        <v>272121.43</v>
      </c>
      <c r="K1355" s="83" t="str">
        <f>IFERROR(IFERROR(VLOOKUP(I1355,'DE-PARA'!B:D,3,0),VLOOKUP(I1355,'DE-PARA'!C:D,2,0)),"NÃO ENCONTRADO")</f>
        <v>Repasses Contrato de Gestão</v>
      </c>
      <c r="L1355" s="50" t="str">
        <f>VLOOKUP(K1355,'Base -Receita-Despesa'!$B:$P,1,FALSE)</f>
        <v>Repasses Contrato de Gestão</v>
      </c>
    </row>
    <row r="1356" spans="1:12" ht="15" customHeight="1" x14ac:dyDescent="0.3">
      <c r="A1356" s="82" t="str">
        <f t="shared" si="42"/>
        <v>2016</v>
      </c>
      <c r="B1356" s="72" t="s">
        <v>249</v>
      </c>
      <c r="C1356" s="73" t="s">
        <v>132</v>
      </c>
      <c r="D1356" s="74" t="str">
        <f t="shared" si="43"/>
        <v>jun/2016</v>
      </c>
      <c r="E1356" s="53">
        <v>42531</v>
      </c>
      <c r="F1356" s="75" t="s">
        <v>154</v>
      </c>
      <c r="G1356" s="72"/>
      <c r="H1356" s="49" t="s">
        <v>154</v>
      </c>
      <c r="I1356" s="49" t="s">
        <v>1497</v>
      </c>
      <c r="J1356" s="76">
        <v>224723.93</v>
      </c>
      <c r="K1356" s="83" t="str">
        <f>IFERROR(IFERROR(VLOOKUP(I1356,'DE-PARA'!B:D,3,0),VLOOKUP(I1356,'DE-PARA'!C:D,2,0)),"NÃO ENCONTRADO")</f>
        <v>Repasses Contrato de Gestão</v>
      </c>
      <c r="L1356" s="50" t="str">
        <f>VLOOKUP(K1356,'Base -Receita-Despesa'!$B:$P,1,FALSE)</f>
        <v>Repasses Contrato de Gestão</v>
      </c>
    </row>
    <row r="1357" spans="1:12" ht="15" customHeight="1" x14ac:dyDescent="0.3">
      <c r="A1357" s="82" t="str">
        <f t="shared" si="42"/>
        <v>2016</v>
      </c>
      <c r="B1357" s="72" t="s">
        <v>249</v>
      </c>
      <c r="C1357" s="73" t="s">
        <v>132</v>
      </c>
      <c r="D1357" s="74" t="str">
        <f t="shared" si="43"/>
        <v>jun/2016</v>
      </c>
      <c r="E1357" s="53">
        <v>42531</v>
      </c>
      <c r="F1357" s="75" t="s">
        <v>1045</v>
      </c>
      <c r="G1357" s="72"/>
      <c r="H1357" s="49" t="s">
        <v>1243</v>
      </c>
      <c r="I1357" s="49" t="s">
        <v>121</v>
      </c>
      <c r="J1357" s="76">
        <v>-496845.36</v>
      </c>
      <c r="K1357" s="83" t="s">
        <v>93</v>
      </c>
      <c r="L1357" s="50" t="str">
        <f>VLOOKUP(K1357,'Base -Receita-Despesa'!$B:$P,1,FALSE)</f>
        <v>Transferências da c/c para c/a ou c/p (-)</v>
      </c>
    </row>
    <row r="1358" spans="1:12" ht="15" customHeight="1" x14ac:dyDescent="0.3">
      <c r="A1358" s="82" t="str">
        <f t="shared" si="42"/>
        <v>2016</v>
      </c>
      <c r="B1358" s="72" t="s">
        <v>131</v>
      </c>
      <c r="C1358" s="73" t="s">
        <v>132</v>
      </c>
      <c r="D1358" s="74" t="str">
        <f t="shared" si="43"/>
        <v>jun/2016</v>
      </c>
      <c r="E1358" s="53">
        <v>42534</v>
      </c>
      <c r="F1358" s="75" t="s">
        <v>692</v>
      </c>
      <c r="G1358" s="72"/>
      <c r="H1358" s="49" t="s">
        <v>187</v>
      </c>
      <c r="I1358" s="49" t="s">
        <v>159</v>
      </c>
      <c r="J1358" s="76">
        <v>-1625.01</v>
      </c>
      <c r="K1358" s="83" t="str">
        <f>IFERROR(IFERROR(VLOOKUP(I1358,'DE-PARA'!B:D,3,0),VLOOKUP(I1358,'DE-PARA'!C:D,2,0)),"NÃO ENCONTRADO")</f>
        <v>Materiais</v>
      </c>
      <c r="L1358" s="50" t="str">
        <f>VLOOKUP(K1358,'Base -Receita-Despesa'!$B:$P,1,FALSE)</f>
        <v>Materiais</v>
      </c>
    </row>
    <row r="1359" spans="1:12" ht="15" customHeight="1" x14ac:dyDescent="0.3">
      <c r="A1359" s="82" t="str">
        <f t="shared" si="42"/>
        <v>2016</v>
      </c>
      <c r="B1359" s="72" t="s">
        <v>131</v>
      </c>
      <c r="C1359" s="73" t="s">
        <v>132</v>
      </c>
      <c r="D1359" s="74" t="str">
        <f t="shared" si="43"/>
        <v>jun/2016</v>
      </c>
      <c r="E1359" s="53">
        <v>42534</v>
      </c>
      <c r="F1359" s="75" t="s">
        <v>1086</v>
      </c>
      <c r="G1359" s="72"/>
      <c r="H1359" s="49" t="s">
        <v>193</v>
      </c>
      <c r="I1359" s="49" t="s">
        <v>194</v>
      </c>
      <c r="J1359" s="76">
        <v>-2591.44</v>
      </c>
      <c r="K1359" s="83" t="str">
        <f>IFERROR(IFERROR(VLOOKUP(I1359,'DE-PARA'!B:D,3,0),VLOOKUP(I1359,'DE-PARA'!C:D,2,0)),"NÃO ENCONTRADO")</f>
        <v>Despesas com Viagens</v>
      </c>
      <c r="L1359" s="50" t="str">
        <f>VLOOKUP(K1359,'Base -Receita-Despesa'!$B:$P,1,FALSE)</f>
        <v>Despesas com Viagens</v>
      </c>
    </row>
    <row r="1360" spans="1:12" ht="15" customHeight="1" x14ac:dyDescent="0.3">
      <c r="A1360" s="82" t="str">
        <f t="shared" si="42"/>
        <v>2016</v>
      </c>
      <c r="B1360" s="72" t="s">
        <v>131</v>
      </c>
      <c r="C1360" s="73" t="s">
        <v>132</v>
      </c>
      <c r="D1360" s="74" t="str">
        <f t="shared" si="43"/>
        <v>jun/2016</v>
      </c>
      <c r="E1360" s="53">
        <v>42534</v>
      </c>
      <c r="F1360" s="75" t="s">
        <v>1087</v>
      </c>
      <c r="G1360" s="72"/>
      <c r="H1360" s="49" t="s">
        <v>1088</v>
      </c>
      <c r="I1360" s="49" t="s">
        <v>150</v>
      </c>
      <c r="J1360" s="76">
        <v>-8950</v>
      </c>
      <c r="K1360" s="83" t="str">
        <f>IFERROR(IFERROR(VLOOKUP(I1360,'DE-PARA'!B:D,3,0),VLOOKUP(I1360,'DE-PARA'!C:D,2,0)),"NÃO ENCONTRADO")</f>
        <v>Materiais</v>
      </c>
      <c r="L1360" s="50" t="str">
        <f>VLOOKUP(K1360,'Base -Receita-Despesa'!$B:$P,1,FALSE)</f>
        <v>Materiais</v>
      </c>
    </row>
    <row r="1361" spans="1:12" ht="15" customHeight="1" x14ac:dyDescent="0.3">
      <c r="A1361" s="82" t="str">
        <f t="shared" si="42"/>
        <v>2016</v>
      </c>
      <c r="B1361" s="72" t="s">
        <v>131</v>
      </c>
      <c r="C1361" s="73" t="s">
        <v>132</v>
      </c>
      <c r="D1361" s="74" t="str">
        <f t="shared" si="43"/>
        <v>jun/2016</v>
      </c>
      <c r="E1361" s="53">
        <v>42534</v>
      </c>
      <c r="F1361" s="75" t="s">
        <v>1089</v>
      </c>
      <c r="G1361" s="72"/>
      <c r="H1361" s="49" t="s">
        <v>1090</v>
      </c>
      <c r="I1361" s="49" t="s">
        <v>515</v>
      </c>
      <c r="J1361" s="76">
        <v>-15000</v>
      </c>
      <c r="K1361" s="83" t="str">
        <f>IFERROR(IFERROR(VLOOKUP(I1361,'DE-PARA'!B:D,3,0),VLOOKUP(I1361,'DE-PARA'!C:D,2,0)),"NÃO ENCONTRADO")</f>
        <v>Serviços</v>
      </c>
      <c r="L1361" s="50" t="str">
        <f>VLOOKUP(K1361,'Base -Receita-Despesa'!$B:$P,1,FALSE)</f>
        <v>Serviços</v>
      </c>
    </row>
    <row r="1362" spans="1:12" ht="15" customHeight="1" x14ac:dyDescent="0.3">
      <c r="A1362" s="82" t="str">
        <f t="shared" si="42"/>
        <v>2016</v>
      </c>
      <c r="B1362" s="72" t="s">
        <v>131</v>
      </c>
      <c r="C1362" s="73" t="s">
        <v>132</v>
      </c>
      <c r="D1362" s="74" t="str">
        <f t="shared" si="43"/>
        <v>jun/2016</v>
      </c>
      <c r="E1362" s="53">
        <v>42534</v>
      </c>
      <c r="F1362" s="75" t="s">
        <v>1091</v>
      </c>
      <c r="G1362" s="72"/>
      <c r="H1362" s="49" t="s">
        <v>1092</v>
      </c>
      <c r="I1362" s="49" t="s">
        <v>150</v>
      </c>
      <c r="J1362" s="76">
        <v>-1929.35</v>
      </c>
      <c r="K1362" s="83" t="str">
        <f>IFERROR(IFERROR(VLOOKUP(I1362,'DE-PARA'!B:D,3,0),VLOOKUP(I1362,'DE-PARA'!C:D,2,0)),"NÃO ENCONTRADO")</f>
        <v>Materiais</v>
      </c>
      <c r="L1362" s="50" t="str">
        <f>VLOOKUP(K1362,'Base -Receita-Despesa'!$B:$P,1,FALSE)</f>
        <v>Materiais</v>
      </c>
    </row>
    <row r="1363" spans="1:12" ht="15" customHeight="1" x14ac:dyDescent="0.3">
      <c r="A1363" s="82" t="str">
        <f t="shared" si="42"/>
        <v>2016</v>
      </c>
      <c r="B1363" s="72" t="s">
        <v>131</v>
      </c>
      <c r="C1363" s="73" t="s">
        <v>132</v>
      </c>
      <c r="D1363" s="74" t="str">
        <f t="shared" si="43"/>
        <v>jun/2016</v>
      </c>
      <c r="E1363" s="53">
        <v>42534</v>
      </c>
      <c r="F1363" s="75" t="s">
        <v>1093</v>
      </c>
      <c r="G1363" s="72"/>
      <c r="H1363" s="49" t="s">
        <v>161</v>
      </c>
      <c r="I1363" s="49" t="s">
        <v>159</v>
      </c>
      <c r="J1363" s="76">
        <v>-245</v>
      </c>
      <c r="K1363" s="83" t="str">
        <f>IFERROR(IFERROR(VLOOKUP(I1363,'DE-PARA'!B:D,3,0),VLOOKUP(I1363,'DE-PARA'!C:D,2,0)),"NÃO ENCONTRADO")</f>
        <v>Materiais</v>
      </c>
      <c r="L1363" s="50" t="str">
        <f>VLOOKUP(K1363,'Base -Receita-Despesa'!$B:$P,1,FALSE)</f>
        <v>Materiais</v>
      </c>
    </row>
    <row r="1364" spans="1:12" ht="15" customHeight="1" x14ac:dyDescent="0.3">
      <c r="A1364" s="82" t="str">
        <f t="shared" si="42"/>
        <v>2016</v>
      </c>
      <c r="B1364" s="72" t="s">
        <v>131</v>
      </c>
      <c r="C1364" s="73" t="s">
        <v>132</v>
      </c>
      <c r="D1364" s="74" t="str">
        <f t="shared" si="43"/>
        <v>jun/2016</v>
      </c>
      <c r="E1364" s="53">
        <v>42534</v>
      </c>
      <c r="F1364" s="75" t="s">
        <v>898</v>
      </c>
      <c r="G1364" s="72"/>
      <c r="H1364" s="49" t="s">
        <v>161</v>
      </c>
      <c r="I1364" s="49" t="s">
        <v>159</v>
      </c>
      <c r="J1364" s="76">
        <v>-976.44</v>
      </c>
      <c r="K1364" s="83" t="str">
        <f>IFERROR(IFERROR(VLOOKUP(I1364,'DE-PARA'!B:D,3,0),VLOOKUP(I1364,'DE-PARA'!C:D,2,0)),"NÃO ENCONTRADO")</f>
        <v>Materiais</v>
      </c>
      <c r="L1364" s="50" t="str">
        <f>VLOOKUP(K1364,'Base -Receita-Despesa'!$B:$P,1,FALSE)</f>
        <v>Materiais</v>
      </c>
    </row>
    <row r="1365" spans="1:12" ht="15" customHeight="1" x14ac:dyDescent="0.3">
      <c r="A1365" s="82" t="str">
        <f t="shared" si="42"/>
        <v>2016</v>
      </c>
      <c r="B1365" s="72" t="s">
        <v>131</v>
      </c>
      <c r="C1365" s="73" t="s">
        <v>132</v>
      </c>
      <c r="D1365" s="74" t="str">
        <f t="shared" si="43"/>
        <v>jun/2016</v>
      </c>
      <c r="E1365" s="53">
        <v>42534</v>
      </c>
      <c r="F1365" s="75" t="s">
        <v>901</v>
      </c>
      <c r="G1365" s="72"/>
      <c r="H1365" s="49" t="s">
        <v>161</v>
      </c>
      <c r="I1365" s="49" t="s">
        <v>159</v>
      </c>
      <c r="J1365" s="76">
        <v>-1322.16</v>
      </c>
      <c r="K1365" s="83" t="str">
        <f>IFERROR(IFERROR(VLOOKUP(I1365,'DE-PARA'!B:D,3,0),VLOOKUP(I1365,'DE-PARA'!C:D,2,0)),"NÃO ENCONTRADO")</f>
        <v>Materiais</v>
      </c>
      <c r="L1365" s="50" t="str">
        <f>VLOOKUP(K1365,'Base -Receita-Despesa'!$B:$P,1,FALSE)</f>
        <v>Materiais</v>
      </c>
    </row>
    <row r="1366" spans="1:12" ht="15" customHeight="1" x14ac:dyDescent="0.3">
      <c r="A1366" s="82" t="str">
        <f t="shared" si="42"/>
        <v>2016</v>
      </c>
      <c r="B1366" s="72" t="s">
        <v>131</v>
      </c>
      <c r="C1366" s="73" t="s">
        <v>132</v>
      </c>
      <c r="D1366" s="74" t="str">
        <f t="shared" si="43"/>
        <v>jun/2016</v>
      </c>
      <c r="E1366" s="53">
        <v>42534</v>
      </c>
      <c r="F1366" s="75" t="s">
        <v>899</v>
      </c>
      <c r="G1366" s="72"/>
      <c r="H1366" s="49" t="s">
        <v>161</v>
      </c>
      <c r="I1366" s="49" t="s">
        <v>159</v>
      </c>
      <c r="J1366" s="76">
        <v>-1058.4100000000001</v>
      </c>
      <c r="K1366" s="83" t="str">
        <f>IFERROR(IFERROR(VLOOKUP(I1366,'DE-PARA'!B:D,3,0),VLOOKUP(I1366,'DE-PARA'!C:D,2,0)),"NÃO ENCONTRADO")</f>
        <v>Materiais</v>
      </c>
      <c r="L1366" s="50" t="str">
        <f>VLOOKUP(K1366,'Base -Receita-Despesa'!$B:$P,1,FALSE)</f>
        <v>Materiais</v>
      </c>
    </row>
    <row r="1367" spans="1:12" ht="15" customHeight="1" x14ac:dyDescent="0.3">
      <c r="A1367" s="82" t="str">
        <f t="shared" si="42"/>
        <v>2016</v>
      </c>
      <c r="B1367" s="72" t="s">
        <v>131</v>
      </c>
      <c r="C1367" s="73" t="s">
        <v>132</v>
      </c>
      <c r="D1367" s="74" t="str">
        <f t="shared" si="43"/>
        <v>jun/2016</v>
      </c>
      <c r="E1367" s="53">
        <v>42534</v>
      </c>
      <c r="F1367" s="75" t="s">
        <v>896</v>
      </c>
      <c r="G1367" s="72"/>
      <c r="H1367" s="49" t="s">
        <v>161</v>
      </c>
      <c r="I1367" s="49" t="s">
        <v>159</v>
      </c>
      <c r="J1367" s="76">
        <v>-621.72</v>
      </c>
      <c r="K1367" s="83" t="str">
        <f>IFERROR(IFERROR(VLOOKUP(I1367,'DE-PARA'!B:D,3,0),VLOOKUP(I1367,'DE-PARA'!C:D,2,0)),"NÃO ENCONTRADO")</f>
        <v>Materiais</v>
      </c>
      <c r="L1367" s="50" t="str">
        <f>VLOOKUP(K1367,'Base -Receita-Despesa'!$B:$P,1,FALSE)</f>
        <v>Materiais</v>
      </c>
    </row>
    <row r="1368" spans="1:12" ht="15" customHeight="1" x14ac:dyDescent="0.3">
      <c r="A1368" s="82" t="str">
        <f t="shared" si="42"/>
        <v>2016</v>
      </c>
      <c r="B1368" s="72" t="s">
        <v>131</v>
      </c>
      <c r="C1368" s="73" t="s">
        <v>132</v>
      </c>
      <c r="D1368" s="74" t="str">
        <f t="shared" si="43"/>
        <v>jun/2016</v>
      </c>
      <c r="E1368" s="53">
        <v>42534</v>
      </c>
      <c r="F1368" s="75" t="s">
        <v>897</v>
      </c>
      <c r="G1368" s="72"/>
      <c r="H1368" s="49" t="s">
        <v>161</v>
      </c>
      <c r="I1368" s="49" t="s">
        <v>159</v>
      </c>
      <c r="J1368" s="76">
        <v>-826.67</v>
      </c>
      <c r="K1368" s="83" t="str">
        <f>IFERROR(IFERROR(VLOOKUP(I1368,'DE-PARA'!B:D,3,0),VLOOKUP(I1368,'DE-PARA'!C:D,2,0)),"NÃO ENCONTRADO")</f>
        <v>Materiais</v>
      </c>
      <c r="L1368" s="50" t="str">
        <f>VLOOKUP(K1368,'Base -Receita-Despesa'!$B:$P,1,FALSE)</f>
        <v>Materiais</v>
      </c>
    </row>
    <row r="1369" spans="1:12" ht="15" customHeight="1" x14ac:dyDescent="0.3">
      <c r="A1369" s="82" t="str">
        <f t="shared" si="42"/>
        <v>2016</v>
      </c>
      <c r="B1369" s="72" t="s">
        <v>131</v>
      </c>
      <c r="C1369" s="73" t="s">
        <v>132</v>
      </c>
      <c r="D1369" s="74" t="str">
        <f t="shared" si="43"/>
        <v>jun/2016</v>
      </c>
      <c r="E1369" s="53">
        <v>42534</v>
      </c>
      <c r="F1369" s="75" t="s">
        <v>840</v>
      </c>
      <c r="G1369" s="72"/>
      <c r="H1369" s="49" t="s">
        <v>863</v>
      </c>
      <c r="I1369" s="49" t="s">
        <v>129</v>
      </c>
      <c r="J1369" s="76">
        <v>-7.85</v>
      </c>
      <c r="K1369" s="83" t="str">
        <f>IFERROR(IFERROR(VLOOKUP(I1369,'DE-PARA'!B:D,3,0),VLOOKUP(I1369,'DE-PARA'!C:D,2,0)),"NÃO ENCONTRADO")</f>
        <v>Outras Saídas</v>
      </c>
      <c r="L1369" s="50" t="str">
        <f>VLOOKUP(K1369,'Base -Receita-Despesa'!$B:$P,1,FALSE)</f>
        <v>Outras Saídas</v>
      </c>
    </row>
    <row r="1370" spans="1:12" ht="15" customHeight="1" x14ac:dyDescent="0.3">
      <c r="A1370" s="82" t="str">
        <f t="shared" si="42"/>
        <v>2016</v>
      </c>
      <c r="B1370" s="72" t="s">
        <v>131</v>
      </c>
      <c r="C1370" s="73" t="s">
        <v>132</v>
      </c>
      <c r="D1370" s="74" t="str">
        <f t="shared" si="43"/>
        <v>jun/2016</v>
      </c>
      <c r="E1370" s="53">
        <v>42534</v>
      </c>
      <c r="F1370" s="75" t="s">
        <v>840</v>
      </c>
      <c r="G1370" s="72"/>
      <c r="H1370" s="49" t="s">
        <v>863</v>
      </c>
      <c r="I1370" s="49" t="s">
        <v>129</v>
      </c>
      <c r="J1370" s="76">
        <v>-7.85</v>
      </c>
      <c r="K1370" s="83" t="str">
        <f>IFERROR(IFERROR(VLOOKUP(I1370,'DE-PARA'!B:D,3,0),VLOOKUP(I1370,'DE-PARA'!C:D,2,0)),"NÃO ENCONTRADO")</f>
        <v>Outras Saídas</v>
      </c>
      <c r="L1370" s="50" t="str">
        <f>VLOOKUP(K1370,'Base -Receita-Despesa'!$B:$P,1,FALSE)</f>
        <v>Outras Saídas</v>
      </c>
    </row>
    <row r="1371" spans="1:12" ht="15" customHeight="1" x14ac:dyDescent="0.3">
      <c r="A1371" s="82" t="str">
        <f t="shared" si="42"/>
        <v>2016</v>
      </c>
      <c r="B1371" s="72" t="s">
        <v>131</v>
      </c>
      <c r="C1371" s="73" t="s">
        <v>132</v>
      </c>
      <c r="D1371" s="74" t="str">
        <f t="shared" si="43"/>
        <v>jun/2016</v>
      </c>
      <c r="E1371" s="53">
        <v>42534</v>
      </c>
      <c r="F1371" s="75" t="s">
        <v>840</v>
      </c>
      <c r="G1371" s="72"/>
      <c r="H1371" s="49" t="s">
        <v>863</v>
      </c>
      <c r="I1371" s="49" t="s">
        <v>129</v>
      </c>
      <c r="J1371" s="76">
        <v>-7.85</v>
      </c>
      <c r="K1371" s="83" t="str">
        <f>IFERROR(IFERROR(VLOOKUP(I1371,'DE-PARA'!B:D,3,0),VLOOKUP(I1371,'DE-PARA'!C:D,2,0)),"NÃO ENCONTRADO")</f>
        <v>Outras Saídas</v>
      </c>
      <c r="L1371" s="50" t="str">
        <f>VLOOKUP(K1371,'Base -Receita-Despesa'!$B:$P,1,FALSE)</f>
        <v>Outras Saídas</v>
      </c>
    </row>
    <row r="1372" spans="1:12" ht="15" customHeight="1" x14ac:dyDescent="0.3">
      <c r="A1372" s="82" t="str">
        <f t="shared" si="42"/>
        <v>2016</v>
      </c>
      <c r="B1372" s="72" t="s">
        <v>131</v>
      </c>
      <c r="C1372" s="73" t="s">
        <v>132</v>
      </c>
      <c r="D1372" s="74" t="str">
        <f t="shared" si="43"/>
        <v>jun/2016</v>
      </c>
      <c r="E1372" s="53">
        <v>42534</v>
      </c>
      <c r="F1372" s="75" t="s">
        <v>840</v>
      </c>
      <c r="G1372" s="72"/>
      <c r="H1372" s="49" t="s">
        <v>863</v>
      </c>
      <c r="I1372" s="49" t="s">
        <v>129</v>
      </c>
      <c r="J1372" s="76">
        <v>-7.85</v>
      </c>
      <c r="K1372" s="83" t="str">
        <f>IFERROR(IFERROR(VLOOKUP(I1372,'DE-PARA'!B:D,3,0),VLOOKUP(I1372,'DE-PARA'!C:D,2,0)),"NÃO ENCONTRADO")</f>
        <v>Outras Saídas</v>
      </c>
      <c r="L1372" s="50" t="str">
        <f>VLOOKUP(K1372,'Base -Receita-Despesa'!$B:$P,1,FALSE)</f>
        <v>Outras Saídas</v>
      </c>
    </row>
    <row r="1373" spans="1:12" ht="15" customHeight="1" x14ac:dyDescent="0.3">
      <c r="A1373" s="82" t="str">
        <f t="shared" si="42"/>
        <v>2016</v>
      </c>
      <c r="B1373" s="72" t="s">
        <v>131</v>
      </c>
      <c r="C1373" s="73" t="s">
        <v>132</v>
      </c>
      <c r="D1373" s="74" t="str">
        <f t="shared" si="43"/>
        <v>jun/2016</v>
      </c>
      <c r="E1373" s="53">
        <v>42534</v>
      </c>
      <c r="F1373" s="75" t="s">
        <v>840</v>
      </c>
      <c r="G1373" s="72"/>
      <c r="H1373" s="49" t="s">
        <v>863</v>
      </c>
      <c r="I1373" s="49" t="s">
        <v>129</v>
      </c>
      <c r="J1373" s="76">
        <v>-7.85</v>
      </c>
      <c r="K1373" s="83" t="str">
        <f>IFERROR(IFERROR(VLOOKUP(I1373,'DE-PARA'!B:D,3,0),VLOOKUP(I1373,'DE-PARA'!C:D,2,0)),"NÃO ENCONTRADO")</f>
        <v>Outras Saídas</v>
      </c>
      <c r="L1373" s="50" t="str">
        <f>VLOOKUP(K1373,'Base -Receita-Despesa'!$B:$P,1,FALSE)</f>
        <v>Outras Saídas</v>
      </c>
    </row>
    <row r="1374" spans="1:12" ht="15" customHeight="1" x14ac:dyDescent="0.3">
      <c r="A1374" s="82" t="str">
        <f t="shared" si="42"/>
        <v>2016</v>
      </c>
      <c r="B1374" s="72" t="s">
        <v>131</v>
      </c>
      <c r="C1374" s="73" t="s">
        <v>132</v>
      </c>
      <c r="D1374" s="74" t="str">
        <f t="shared" si="43"/>
        <v>jun/2016</v>
      </c>
      <c r="E1374" s="53">
        <v>42534</v>
      </c>
      <c r="F1374" s="75" t="s">
        <v>840</v>
      </c>
      <c r="G1374" s="72"/>
      <c r="H1374" s="49" t="s">
        <v>863</v>
      </c>
      <c r="I1374" s="49" t="s">
        <v>129</v>
      </c>
      <c r="J1374" s="76">
        <v>-7.85</v>
      </c>
      <c r="K1374" s="83" t="str">
        <f>IFERROR(IFERROR(VLOOKUP(I1374,'DE-PARA'!B:D,3,0),VLOOKUP(I1374,'DE-PARA'!C:D,2,0)),"NÃO ENCONTRADO")</f>
        <v>Outras Saídas</v>
      </c>
      <c r="L1374" s="50" t="str">
        <f>VLOOKUP(K1374,'Base -Receita-Despesa'!$B:$P,1,FALSE)</f>
        <v>Outras Saídas</v>
      </c>
    </row>
    <row r="1375" spans="1:12" ht="15" customHeight="1" x14ac:dyDescent="0.3">
      <c r="A1375" s="82" t="str">
        <f t="shared" si="42"/>
        <v>2016</v>
      </c>
      <c r="B1375" s="72" t="s">
        <v>131</v>
      </c>
      <c r="C1375" s="73" t="s">
        <v>132</v>
      </c>
      <c r="D1375" s="74" t="str">
        <f t="shared" si="43"/>
        <v>jun/2016</v>
      </c>
      <c r="E1375" s="53">
        <v>42534</v>
      </c>
      <c r="F1375" s="75" t="s">
        <v>840</v>
      </c>
      <c r="G1375" s="72"/>
      <c r="H1375" s="49" t="s">
        <v>863</v>
      </c>
      <c r="I1375" s="49" t="s">
        <v>129</v>
      </c>
      <c r="J1375" s="76">
        <v>-7.85</v>
      </c>
      <c r="K1375" s="83" t="str">
        <f>IFERROR(IFERROR(VLOOKUP(I1375,'DE-PARA'!B:D,3,0),VLOOKUP(I1375,'DE-PARA'!C:D,2,0)),"NÃO ENCONTRADO")</f>
        <v>Outras Saídas</v>
      </c>
      <c r="L1375" s="50" t="str">
        <f>VLOOKUP(K1375,'Base -Receita-Despesa'!$B:$P,1,FALSE)</f>
        <v>Outras Saídas</v>
      </c>
    </row>
    <row r="1376" spans="1:12" ht="15" customHeight="1" x14ac:dyDescent="0.3">
      <c r="A1376" s="82" t="str">
        <f t="shared" si="42"/>
        <v>2016</v>
      </c>
      <c r="B1376" s="72" t="s">
        <v>131</v>
      </c>
      <c r="C1376" s="73" t="s">
        <v>132</v>
      </c>
      <c r="D1376" s="74" t="str">
        <f t="shared" si="43"/>
        <v>jun/2016</v>
      </c>
      <c r="E1376" s="53">
        <v>42534</v>
      </c>
      <c r="F1376" s="75" t="s">
        <v>840</v>
      </c>
      <c r="G1376" s="72"/>
      <c r="H1376" s="49" t="s">
        <v>863</v>
      </c>
      <c r="I1376" s="49" t="s">
        <v>129</v>
      </c>
      <c r="J1376" s="76">
        <v>-7.85</v>
      </c>
      <c r="K1376" s="83" t="str">
        <f>IFERROR(IFERROR(VLOOKUP(I1376,'DE-PARA'!B:D,3,0),VLOOKUP(I1376,'DE-PARA'!C:D,2,0)),"NÃO ENCONTRADO")</f>
        <v>Outras Saídas</v>
      </c>
      <c r="L1376" s="50" t="str">
        <f>VLOOKUP(K1376,'Base -Receita-Despesa'!$B:$P,1,FALSE)</f>
        <v>Outras Saídas</v>
      </c>
    </row>
    <row r="1377" spans="1:12" ht="15" customHeight="1" x14ac:dyDescent="0.3">
      <c r="A1377" s="82" t="str">
        <f t="shared" si="42"/>
        <v>2016</v>
      </c>
      <c r="B1377" s="72" t="s">
        <v>131</v>
      </c>
      <c r="C1377" s="73" t="s">
        <v>132</v>
      </c>
      <c r="D1377" s="74" t="str">
        <f t="shared" si="43"/>
        <v>jun/2016</v>
      </c>
      <c r="E1377" s="53">
        <v>42534</v>
      </c>
      <c r="F1377" s="75" t="s">
        <v>840</v>
      </c>
      <c r="G1377" s="72"/>
      <c r="H1377" s="49" t="s">
        <v>863</v>
      </c>
      <c r="I1377" s="49" t="s">
        <v>129</v>
      </c>
      <c r="J1377" s="76">
        <v>-7.85</v>
      </c>
      <c r="K1377" s="83" t="str">
        <f>IFERROR(IFERROR(VLOOKUP(I1377,'DE-PARA'!B:D,3,0),VLOOKUP(I1377,'DE-PARA'!C:D,2,0)),"NÃO ENCONTRADO")</f>
        <v>Outras Saídas</v>
      </c>
      <c r="L1377" s="50" t="str">
        <f>VLOOKUP(K1377,'Base -Receita-Despesa'!$B:$P,1,FALSE)</f>
        <v>Outras Saídas</v>
      </c>
    </row>
    <row r="1378" spans="1:12" ht="15" customHeight="1" x14ac:dyDescent="0.3">
      <c r="A1378" s="82" t="str">
        <f t="shared" si="42"/>
        <v>2016</v>
      </c>
      <c r="B1378" s="72" t="s">
        <v>131</v>
      </c>
      <c r="C1378" s="73" t="s">
        <v>132</v>
      </c>
      <c r="D1378" s="74" t="str">
        <f t="shared" si="43"/>
        <v>jun/2016</v>
      </c>
      <c r="E1378" s="53">
        <v>42534</v>
      </c>
      <c r="F1378" s="75" t="s">
        <v>840</v>
      </c>
      <c r="G1378" s="72"/>
      <c r="H1378" s="49" t="s">
        <v>863</v>
      </c>
      <c r="I1378" s="49" t="s">
        <v>129</v>
      </c>
      <c r="J1378" s="76">
        <v>-7.85</v>
      </c>
      <c r="K1378" s="83" t="str">
        <f>IFERROR(IFERROR(VLOOKUP(I1378,'DE-PARA'!B:D,3,0),VLOOKUP(I1378,'DE-PARA'!C:D,2,0)),"NÃO ENCONTRADO")</f>
        <v>Outras Saídas</v>
      </c>
      <c r="L1378" s="50" t="str">
        <f>VLOOKUP(K1378,'Base -Receita-Despesa'!$B:$P,1,FALSE)</f>
        <v>Outras Saídas</v>
      </c>
    </row>
    <row r="1379" spans="1:12" ht="15" customHeight="1" x14ac:dyDescent="0.3">
      <c r="A1379" s="82" t="str">
        <f t="shared" si="42"/>
        <v>2016</v>
      </c>
      <c r="B1379" s="72" t="s">
        <v>131</v>
      </c>
      <c r="C1379" s="73" t="s">
        <v>132</v>
      </c>
      <c r="D1379" s="74" t="str">
        <f t="shared" si="43"/>
        <v>jun/2016</v>
      </c>
      <c r="E1379" s="53">
        <v>42534</v>
      </c>
      <c r="F1379" s="75" t="s">
        <v>840</v>
      </c>
      <c r="G1379" s="72"/>
      <c r="H1379" s="49" t="s">
        <v>863</v>
      </c>
      <c r="I1379" s="49" t="s">
        <v>129</v>
      </c>
      <c r="J1379" s="76">
        <v>-7.85</v>
      </c>
      <c r="K1379" s="83" t="str">
        <f>IFERROR(IFERROR(VLOOKUP(I1379,'DE-PARA'!B:D,3,0),VLOOKUP(I1379,'DE-PARA'!C:D,2,0)),"NÃO ENCONTRADO")</f>
        <v>Outras Saídas</v>
      </c>
      <c r="L1379" s="50" t="str">
        <f>VLOOKUP(K1379,'Base -Receita-Despesa'!$B:$P,1,FALSE)</f>
        <v>Outras Saídas</v>
      </c>
    </row>
    <row r="1380" spans="1:12" ht="15" customHeight="1" x14ac:dyDescent="0.3">
      <c r="A1380" s="82" t="str">
        <f t="shared" si="42"/>
        <v>2016</v>
      </c>
      <c r="B1380" s="72" t="s">
        <v>131</v>
      </c>
      <c r="C1380" s="73" t="s">
        <v>132</v>
      </c>
      <c r="D1380" s="74" t="str">
        <f t="shared" si="43"/>
        <v>jun/2016</v>
      </c>
      <c r="E1380" s="53">
        <v>42534</v>
      </c>
      <c r="F1380" s="75" t="s">
        <v>840</v>
      </c>
      <c r="G1380" s="72"/>
      <c r="H1380" s="49" t="s">
        <v>863</v>
      </c>
      <c r="I1380" s="49" t="s">
        <v>129</v>
      </c>
      <c r="J1380" s="76">
        <v>-7.85</v>
      </c>
      <c r="K1380" s="83" t="str">
        <f>IFERROR(IFERROR(VLOOKUP(I1380,'DE-PARA'!B:D,3,0),VLOOKUP(I1380,'DE-PARA'!C:D,2,0)),"NÃO ENCONTRADO")</f>
        <v>Outras Saídas</v>
      </c>
      <c r="L1380" s="50" t="str">
        <f>VLOOKUP(K1380,'Base -Receita-Despesa'!$B:$P,1,FALSE)</f>
        <v>Outras Saídas</v>
      </c>
    </row>
    <row r="1381" spans="1:12" ht="15" customHeight="1" x14ac:dyDescent="0.3">
      <c r="A1381" s="82" t="str">
        <f t="shared" si="42"/>
        <v>2016</v>
      </c>
      <c r="B1381" s="72" t="s">
        <v>131</v>
      </c>
      <c r="C1381" s="73" t="s">
        <v>132</v>
      </c>
      <c r="D1381" s="74" t="str">
        <f t="shared" si="43"/>
        <v>jun/2016</v>
      </c>
      <c r="E1381" s="53">
        <v>42534</v>
      </c>
      <c r="F1381" s="75" t="s">
        <v>840</v>
      </c>
      <c r="G1381" s="72"/>
      <c r="H1381" s="49" t="s">
        <v>863</v>
      </c>
      <c r="I1381" s="49" t="s">
        <v>129</v>
      </c>
      <c r="J1381" s="76">
        <v>-7.85</v>
      </c>
      <c r="K1381" s="83" t="str">
        <f>IFERROR(IFERROR(VLOOKUP(I1381,'DE-PARA'!B:D,3,0),VLOOKUP(I1381,'DE-PARA'!C:D,2,0)),"NÃO ENCONTRADO")</f>
        <v>Outras Saídas</v>
      </c>
      <c r="L1381" s="50" t="str">
        <f>VLOOKUP(K1381,'Base -Receita-Despesa'!$B:$P,1,FALSE)</f>
        <v>Outras Saídas</v>
      </c>
    </row>
    <row r="1382" spans="1:12" ht="15" customHeight="1" x14ac:dyDescent="0.3">
      <c r="A1382" s="82" t="str">
        <f t="shared" si="42"/>
        <v>2016</v>
      </c>
      <c r="B1382" s="72" t="s">
        <v>131</v>
      </c>
      <c r="C1382" s="73" t="s">
        <v>132</v>
      </c>
      <c r="D1382" s="74" t="str">
        <f t="shared" si="43"/>
        <v>jun/2016</v>
      </c>
      <c r="E1382" s="53">
        <v>42534</v>
      </c>
      <c r="F1382" s="75" t="s">
        <v>840</v>
      </c>
      <c r="G1382" s="72"/>
      <c r="H1382" s="49" t="s">
        <v>863</v>
      </c>
      <c r="I1382" s="49" t="s">
        <v>129</v>
      </c>
      <c r="J1382" s="76">
        <v>-7.85</v>
      </c>
      <c r="K1382" s="83" t="str">
        <f>IFERROR(IFERROR(VLOOKUP(I1382,'DE-PARA'!B:D,3,0),VLOOKUP(I1382,'DE-PARA'!C:D,2,0)),"NÃO ENCONTRADO")</f>
        <v>Outras Saídas</v>
      </c>
      <c r="L1382" s="50" t="str">
        <f>VLOOKUP(K1382,'Base -Receita-Despesa'!$B:$P,1,FALSE)</f>
        <v>Outras Saídas</v>
      </c>
    </row>
    <row r="1383" spans="1:12" ht="15" customHeight="1" x14ac:dyDescent="0.3">
      <c r="A1383" s="82" t="str">
        <f t="shared" si="42"/>
        <v>2016</v>
      </c>
      <c r="B1383" s="72" t="s">
        <v>131</v>
      </c>
      <c r="C1383" s="73" t="s">
        <v>132</v>
      </c>
      <c r="D1383" s="74" t="str">
        <f t="shared" si="43"/>
        <v>jun/2016</v>
      </c>
      <c r="E1383" s="53">
        <v>42534</v>
      </c>
      <c r="F1383" s="75" t="s">
        <v>840</v>
      </c>
      <c r="G1383" s="72"/>
      <c r="H1383" s="49" t="s">
        <v>863</v>
      </c>
      <c r="I1383" s="49" t="s">
        <v>129</v>
      </c>
      <c r="J1383" s="76">
        <v>-7.85</v>
      </c>
      <c r="K1383" s="83" t="str">
        <f>IFERROR(IFERROR(VLOOKUP(I1383,'DE-PARA'!B:D,3,0),VLOOKUP(I1383,'DE-PARA'!C:D,2,0)),"NÃO ENCONTRADO")</f>
        <v>Outras Saídas</v>
      </c>
      <c r="L1383" s="50" t="str">
        <f>VLOOKUP(K1383,'Base -Receita-Despesa'!$B:$P,1,FALSE)</f>
        <v>Outras Saídas</v>
      </c>
    </row>
    <row r="1384" spans="1:12" ht="15" customHeight="1" x14ac:dyDescent="0.3">
      <c r="A1384" s="82" t="str">
        <f t="shared" si="42"/>
        <v>2016</v>
      </c>
      <c r="B1384" s="72" t="s">
        <v>131</v>
      </c>
      <c r="C1384" s="73" t="s">
        <v>132</v>
      </c>
      <c r="D1384" s="74" t="str">
        <f t="shared" si="43"/>
        <v>jun/2016</v>
      </c>
      <c r="E1384" s="53">
        <v>42534</v>
      </c>
      <c r="F1384" s="75" t="s">
        <v>840</v>
      </c>
      <c r="G1384" s="72"/>
      <c r="H1384" s="49" t="s">
        <v>863</v>
      </c>
      <c r="I1384" s="49" t="s">
        <v>129</v>
      </c>
      <c r="J1384" s="76">
        <v>-7.85</v>
      </c>
      <c r="K1384" s="83" t="str">
        <f>IFERROR(IFERROR(VLOOKUP(I1384,'DE-PARA'!B:D,3,0),VLOOKUP(I1384,'DE-PARA'!C:D,2,0)),"NÃO ENCONTRADO")</f>
        <v>Outras Saídas</v>
      </c>
      <c r="L1384" s="50" t="str">
        <f>VLOOKUP(K1384,'Base -Receita-Despesa'!$B:$P,1,FALSE)</f>
        <v>Outras Saídas</v>
      </c>
    </row>
    <row r="1385" spans="1:12" ht="15" customHeight="1" x14ac:dyDescent="0.3">
      <c r="A1385" s="82" t="str">
        <f t="shared" si="42"/>
        <v>2016</v>
      </c>
      <c r="B1385" s="72" t="s">
        <v>131</v>
      </c>
      <c r="C1385" s="73" t="s">
        <v>132</v>
      </c>
      <c r="D1385" s="74" t="str">
        <f t="shared" si="43"/>
        <v>jun/2016</v>
      </c>
      <c r="E1385" s="53">
        <v>42534</v>
      </c>
      <c r="F1385" s="75" t="s">
        <v>840</v>
      </c>
      <c r="G1385" s="72"/>
      <c r="H1385" s="49" t="s">
        <v>863</v>
      </c>
      <c r="I1385" s="49" t="s">
        <v>129</v>
      </c>
      <c r="J1385" s="76">
        <v>-7.85</v>
      </c>
      <c r="K1385" s="83" t="str">
        <f>IFERROR(IFERROR(VLOOKUP(I1385,'DE-PARA'!B:D,3,0),VLOOKUP(I1385,'DE-PARA'!C:D,2,0)),"NÃO ENCONTRADO")</f>
        <v>Outras Saídas</v>
      </c>
      <c r="L1385" s="50" t="str">
        <f>VLOOKUP(K1385,'Base -Receita-Despesa'!$B:$P,1,FALSE)</f>
        <v>Outras Saídas</v>
      </c>
    </row>
    <row r="1386" spans="1:12" ht="15" customHeight="1" x14ac:dyDescent="0.3">
      <c r="A1386" s="82" t="str">
        <f t="shared" si="42"/>
        <v>2016</v>
      </c>
      <c r="B1386" s="72" t="s">
        <v>131</v>
      </c>
      <c r="C1386" s="73" t="s">
        <v>132</v>
      </c>
      <c r="D1386" s="74" t="str">
        <f t="shared" si="43"/>
        <v>jun/2016</v>
      </c>
      <c r="E1386" s="53">
        <v>42534</v>
      </c>
      <c r="F1386" s="75" t="s">
        <v>840</v>
      </c>
      <c r="G1386" s="72"/>
      <c r="H1386" s="49" t="s">
        <v>863</v>
      </c>
      <c r="I1386" s="49" t="s">
        <v>129</v>
      </c>
      <c r="J1386" s="76">
        <v>-7.85</v>
      </c>
      <c r="K1386" s="83" t="str">
        <f>IFERROR(IFERROR(VLOOKUP(I1386,'DE-PARA'!B:D,3,0),VLOOKUP(I1386,'DE-PARA'!C:D,2,0)),"NÃO ENCONTRADO")</f>
        <v>Outras Saídas</v>
      </c>
      <c r="L1386" s="50" t="str">
        <f>VLOOKUP(K1386,'Base -Receita-Despesa'!$B:$P,1,FALSE)</f>
        <v>Outras Saídas</v>
      </c>
    </row>
    <row r="1387" spans="1:12" ht="15" customHeight="1" x14ac:dyDescent="0.3">
      <c r="A1387" s="82" t="str">
        <f t="shared" si="42"/>
        <v>2016</v>
      </c>
      <c r="B1387" s="72" t="s">
        <v>131</v>
      </c>
      <c r="C1387" s="73" t="s">
        <v>132</v>
      </c>
      <c r="D1387" s="74" t="str">
        <f t="shared" si="43"/>
        <v>jun/2016</v>
      </c>
      <c r="E1387" s="53">
        <v>42534</v>
      </c>
      <c r="F1387" s="75" t="s">
        <v>840</v>
      </c>
      <c r="G1387" s="72"/>
      <c r="H1387" s="49" t="s">
        <v>863</v>
      </c>
      <c r="I1387" s="49" t="s">
        <v>129</v>
      </c>
      <c r="J1387" s="76">
        <v>-7.85</v>
      </c>
      <c r="K1387" s="83" t="str">
        <f>IFERROR(IFERROR(VLOOKUP(I1387,'DE-PARA'!B:D,3,0),VLOOKUP(I1387,'DE-PARA'!C:D,2,0)),"NÃO ENCONTRADO")</f>
        <v>Outras Saídas</v>
      </c>
      <c r="L1387" s="50" t="str">
        <f>VLOOKUP(K1387,'Base -Receita-Despesa'!$B:$P,1,FALSE)</f>
        <v>Outras Saídas</v>
      </c>
    </row>
    <row r="1388" spans="1:12" ht="15" customHeight="1" x14ac:dyDescent="0.3">
      <c r="A1388" s="82" t="str">
        <f t="shared" si="42"/>
        <v>2016</v>
      </c>
      <c r="B1388" s="72" t="s">
        <v>131</v>
      </c>
      <c r="C1388" s="73" t="s">
        <v>132</v>
      </c>
      <c r="D1388" s="74" t="str">
        <f t="shared" si="43"/>
        <v>jun/2016</v>
      </c>
      <c r="E1388" s="53">
        <v>42534</v>
      </c>
      <c r="F1388" s="75" t="s">
        <v>840</v>
      </c>
      <c r="G1388" s="72"/>
      <c r="H1388" s="49" t="s">
        <v>863</v>
      </c>
      <c r="I1388" s="49" t="s">
        <v>129</v>
      </c>
      <c r="J1388" s="76">
        <v>-7.85</v>
      </c>
      <c r="K1388" s="83" t="str">
        <f>IFERROR(IFERROR(VLOOKUP(I1388,'DE-PARA'!B:D,3,0),VLOOKUP(I1388,'DE-PARA'!C:D,2,0)),"NÃO ENCONTRADO")</f>
        <v>Outras Saídas</v>
      </c>
      <c r="L1388" s="50" t="str">
        <f>VLOOKUP(K1388,'Base -Receita-Despesa'!$B:$P,1,FALSE)</f>
        <v>Outras Saídas</v>
      </c>
    </row>
    <row r="1389" spans="1:12" ht="15" customHeight="1" x14ac:dyDescent="0.3">
      <c r="A1389" s="82" t="str">
        <f t="shared" si="42"/>
        <v>2016</v>
      </c>
      <c r="B1389" s="72" t="s">
        <v>131</v>
      </c>
      <c r="C1389" s="73" t="s">
        <v>132</v>
      </c>
      <c r="D1389" s="74" t="str">
        <f t="shared" si="43"/>
        <v>jun/2016</v>
      </c>
      <c r="E1389" s="53">
        <v>42534</v>
      </c>
      <c r="F1389" s="75" t="s">
        <v>840</v>
      </c>
      <c r="G1389" s="72"/>
      <c r="H1389" s="49" t="s">
        <v>863</v>
      </c>
      <c r="I1389" s="49" t="s">
        <v>129</v>
      </c>
      <c r="J1389" s="76">
        <v>-7.85</v>
      </c>
      <c r="K1389" s="83" t="str">
        <f>IFERROR(IFERROR(VLOOKUP(I1389,'DE-PARA'!B:D,3,0),VLOOKUP(I1389,'DE-PARA'!C:D,2,0)),"NÃO ENCONTRADO")</f>
        <v>Outras Saídas</v>
      </c>
      <c r="L1389" s="50" t="str">
        <f>VLOOKUP(K1389,'Base -Receita-Despesa'!$B:$P,1,FALSE)</f>
        <v>Outras Saídas</v>
      </c>
    </row>
    <row r="1390" spans="1:12" ht="15" customHeight="1" x14ac:dyDescent="0.3">
      <c r="A1390" s="82" t="str">
        <f t="shared" si="42"/>
        <v>2016</v>
      </c>
      <c r="B1390" s="72" t="s">
        <v>131</v>
      </c>
      <c r="C1390" s="73" t="s">
        <v>132</v>
      </c>
      <c r="D1390" s="74" t="str">
        <f t="shared" si="43"/>
        <v>jun/2016</v>
      </c>
      <c r="E1390" s="53">
        <v>42534</v>
      </c>
      <c r="F1390" s="75" t="s">
        <v>840</v>
      </c>
      <c r="G1390" s="72"/>
      <c r="H1390" s="49" t="s">
        <v>863</v>
      </c>
      <c r="I1390" s="49" t="s">
        <v>129</v>
      </c>
      <c r="J1390" s="76">
        <v>-7.85</v>
      </c>
      <c r="K1390" s="83" t="str">
        <f>IFERROR(IFERROR(VLOOKUP(I1390,'DE-PARA'!B:D,3,0),VLOOKUP(I1390,'DE-PARA'!C:D,2,0)),"NÃO ENCONTRADO")</f>
        <v>Outras Saídas</v>
      </c>
      <c r="L1390" s="50" t="str">
        <f>VLOOKUP(K1390,'Base -Receita-Despesa'!$B:$P,1,FALSE)</f>
        <v>Outras Saídas</v>
      </c>
    </row>
    <row r="1391" spans="1:12" ht="15" customHeight="1" x14ac:dyDescent="0.3">
      <c r="A1391" s="82" t="str">
        <f t="shared" si="42"/>
        <v>2016</v>
      </c>
      <c r="B1391" s="72" t="s">
        <v>131</v>
      </c>
      <c r="C1391" s="73" t="s">
        <v>132</v>
      </c>
      <c r="D1391" s="74" t="str">
        <f t="shared" si="43"/>
        <v>jun/2016</v>
      </c>
      <c r="E1391" s="53">
        <v>42534</v>
      </c>
      <c r="F1391" s="75" t="s">
        <v>840</v>
      </c>
      <c r="G1391" s="72"/>
      <c r="H1391" s="49" t="s">
        <v>863</v>
      </c>
      <c r="I1391" s="49" t="s">
        <v>129</v>
      </c>
      <c r="J1391" s="76">
        <v>-7.85</v>
      </c>
      <c r="K1391" s="83" t="str">
        <f>IFERROR(IFERROR(VLOOKUP(I1391,'DE-PARA'!B:D,3,0),VLOOKUP(I1391,'DE-PARA'!C:D,2,0)),"NÃO ENCONTRADO")</f>
        <v>Outras Saídas</v>
      </c>
      <c r="L1391" s="50" t="str">
        <f>VLOOKUP(K1391,'Base -Receita-Despesa'!$B:$P,1,FALSE)</f>
        <v>Outras Saídas</v>
      </c>
    </row>
    <row r="1392" spans="1:12" ht="15" customHeight="1" x14ac:dyDescent="0.3">
      <c r="A1392" s="82" t="str">
        <f t="shared" si="42"/>
        <v>2016</v>
      </c>
      <c r="B1392" s="72" t="s">
        <v>131</v>
      </c>
      <c r="C1392" s="73" t="s">
        <v>132</v>
      </c>
      <c r="D1392" s="74" t="str">
        <f t="shared" si="43"/>
        <v>jun/2016</v>
      </c>
      <c r="E1392" s="53">
        <v>42534</v>
      </c>
      <c r="F1392" s="75" t="s">
        <v>840</v>
      </c>
      <c r="G1392" s="72"/>
      <c r="H1392" s="49" t="s">
        <v>863</v>
      </c>
      <c r="I1392" s="49" t="s">
        <v>129</v>
      </c>
      <c r="J1392" s="76">
        <v>-7.85</v>
      </c>
      <c r="K1392" s="83" t="str">
        <f>IFERROR(IFERROR(VLOOKUP(I1392,'DE-PARA'!B:D,3,0),VLOOKUP(I1392,'DE-PARA'!C:D,2,0)),"NÃO ENCONTRADO")</f>
        <v>Outras Saídas</v>
      </c>
      <c r="L1392" s="50" t="str">
        <f>VLOOKUP(K1392,'Base -Receita-Despesa'!$B:$P,1,FALSE)</f>
        <v>Outras Saídas</v>
      </c>
    </row>
    <row r="1393" spans="1:12" ht="15" customHeight="1" x14ac:dyDescent="0.3">
      <c r="A1393" s="82" t="str">
        <f t="shared" si="42"/>
        <v>2016</v>
      </c>
      <c r="B1393" s="72" t="s">
        <v>131</v>
      </c>
      <c r="C1393" s="73" t="s">
        <v>132</v>
      </c>
      <c r="D1393" s="74" t="str">
        <f t="shared" si="43"/>
        <v>jun/2016</v>
      </c>
      <c r="E1393" s="53">
        <v>42534</v>
      </c>
      <c r="F1393" s="75" t="s">
        <v>840</v>
      </c>
      <c r="G1393" s="72"/>
      <c r="H1393" s="49" t="s">
        <v>863</v>
      </c>
      <c r="I1393" s="49" t="s">
        <v>129</v>
      </c>
      <c r="J1393" s="76">
        <v>-7.85</v>
      </c>
      <c r="K1393" s="83" t="str">
        <f>IFERROR(IFERROR(VLOOKUP(I1393,'DE-PARA'!B:D,3,0),VLOOKUP(I1393,'DE-PARA'!C:D,2,0)),"NÃO ENCONTRADO")</f>
        <v>Outras Saídas</v>
      </c>
      <c r="L1393" s="50" t="str">
        <f>VLOOKUP(K1393,'Base -Receita-Despesa'!$B:$P,1,FALSE)</f>
        <v>Outras Saídas</v>
      </c>
    </row>
    <row r="1394" spans="1:12" ht="15" customHeight="1" x14ac:dyDescent="0.3">
      <c r="A1394" s="82" t="str">
        <f t="shared" si="42"/>
        <v>2016</v>
      </c>
      <c r="B1394" s="72" t="s">
        <v>131</v>
      </c>
      <c r="C1394" s="73" t="s">
        <v>132</v>
      </c>
      <c r="D1394" s="74" t="str">
        <f t="shared" si="43"/>
        <v>jun/2016</v>
      </c>
      <c r="E1394" s="53">
        <v>42534</v>
      </c>
      <c r="F1394" s="75" t="s">
        <v>840</v>
      </c>
      <c r="G1394" s="72"/>
      <c r="H1394" s="49" t="s">
        <v>863</v>
      </c>
      <c r="I1394" s="49" t="s">
        <v>129</v>
      </c>
      <c r="J1394" s="76">
        <v>-7.85</v>
      </c>
      <c r="K1394" s="83" t="str">
        <f>IFERROR(IFERROR(VLOOKUP(I1394,'DE-PARA'!B:D,3,0),VLOOKUP(I1394,'DE-PARA'!C:D,2,0)),"NÃO ENCONTRADO")</f>
        <v>Outras Saídas</v>
      </c>
      <c r="L1394" s="50" t="str">
        <f>VLOOKUP(K1394,'Base -Receita-Despesa'!$B:$P,1,FALSE)</f>
        <v>Outras Saídas</v>
      </c>
    </row>
    <row r="1395" spans="1:12" ht="15" customHeight="1" x14ac:dyDescent="0.3">
      <c r="A1395" s="82" t="str">
        <f t="shared" si="42"/>
        <v>2016</v>
      </c>
      <c r="B1395" s="72" t="s">
        <v>131</v>
      </c>
      <c r="C1395" s="73" t="s">
        <v>132</v>
      </c>
      <c r="D1395" s="74" t="str">
        <f t="shared" si="43"/>
        <v>jun/2016</v>
      </c>
      <c r="E1395" s="53">
        <v>42534</v>
      </c>
      <c r="F1395" s="75" t="s">
        <v>840</v>
      </c>
      <c r="G1395" s="72"/>
      <c r="H1395" s="49" t="s">
        <v>863</v>
      </c>
      <c r="I1395" s="49" t="s">
        <v>129</v>
      </c>
      <c r="J1395" s="76">
        <v>-7.85</v>
      </c>
      <c r="K1395" s="83" t="str">
        <f>IFERROR(IFERROR(VLOOKUP(I1395,'DE-PARA'!B:D,3,0),VLOOKUP(I1395,'DE-PARA'!C:D,2,0)),"NÃO ENCONTRADO")</f>
        <v>Outras Saídas</v>
      </c>
      <c r="L1395" s="50" t="str">
        <f>VLOOKUP(K1395,'Base -Receita-Despesa'!$B:$P,1,FALSE)</f>
        <v>Outras Saídas</v>
      </c>
    </row>
    <row r="1396" spans="1:12" ht="15" customHeight="1" x14ac:dyDescent="0.3">
      <c r="A1396" s="82" t="str">
        <f t="shared" si="42"/>
        <v>2016</v>
      </c>
      <c r="B1396" s="72" t="s">
        <v>131</v>
      </c>
      <c r="C1396" s="73" t="s">
        <v>132</v>
      </c>
      <c r="D1396" s="74" t="str">
        <f t="shared" si="43"/>
        <v>jun/2016</v>
      </c>
      <c r="E1396" s="53">
        <v>42534</v>
      </c>
      <c r="F1396" s="75" t="s">
        <v>840</v>
      </c>
      <c r="G1396" s="72"/>
      <c r="H1396" s="49" t="s">
        <v>863</v>
      </c>
      <c r="I1396" s="49" t="s">
        <v>129</v>
      </c>
      <c r="J1396" s="76">
        <v>-7.85</v>
      </c>
      <c r="K1396" s="83" t="str">
        <f>IFERROR(IFERROR(VLOOKUP(I1396,'DE-PARA'!B:D,3,0),VLOOKUP(I1396,'DE-PARA'!C:D,2,0)),"NÃO ENCONTRADO")</f>
        <v>Outras Saídas</v>
      </c>
      <c r="L1396" s="50" t="str">
        <f>VLOOKUP(K1396,'Base -Receita-Despesa'!$B:$P,1,FALSE)</f>
        <v>Outras Saídas</v>
      </c>
    </row>
    <row r="1397" spans="1:12" ht="15" customHeight="1" x14ac:dyDescent="0.3">
      <c r="A1397" s="82" t="str">
        <f t="shared" si="42"/>
        <v>2016</v>
      </c>
      <c r="B1397" s="72" t="s">
        <v>131</v>
      </c>
      <c r="C1397" s="73" t="s">
        <v>132</v>
      </c>
      <c r="D1397" s="74" t="str">
        <f t="shared" si="43"/>
        <v>jun/2016</v>
      </c>
      <c r="E1397" s="53">
        <v>42534</v>
      </c>
      <c r="F1397" s="75" t="s">
        <v>840</v>
      </c>
      <c r="G1397" s="72"/>
      <c r="H1397" s="49" t="s">
        <v>863</v>
      </c>
      <c r="I1397" s="49" t="s">
        <v>129</v>
      </c>
      <c r="J1397" s="76">
        <v>-7.85</v>
      </c>
      <c r="K1397" s="83" t="str">
        <f>IFERROR(IFERROR(VLOOKUP(I1397,'DE-PARA'!B:D,3,0),VLOOKUP(I1397,'DE-PARA'!C:D,2,0)),"NÃO ENCONTRADO")</f>
        <v>Outras Saídas</v>
      </c>
      <c r="L1397" s="50" t="str">
        <f>VLOOKUP(K1397,'Base -Receita-Despesa'!$B:$P,1,FALSE)</f>
        <v>Outras Saídas</v>
      </c>
    </row>
    <row r="1398" spans="1:12" ht="15" customHeight="1" x14ac:dyDescent="0.3">
      <c r="A1398" s="82" t="str">
        <f t="shared" si="42"/>
        <v>2016</v>
      </c>
      <c r="B1398" s="72" t="s">
        <v>131</v>
      </c>
      <c r="C1398" s="73" t="s">
        <v>132</v>
      </c>
      <c r="D1398" s="74" t="str">
        <f t="shared" si="43"/>
        <v>jun/2016</v>
      </c>
      <c r="E1398" s="53">
        <v>42534</v>
      </c>
      <c r="F1398" s="75" t="s">
        <v>840</v>
      </c>
      <c r="G1398" s="72"/>
      <c r="H1398" s="49" t="s">
        <v>863</v>
      </c>
      <c r="I1398" s="49" t="s">
        <v>129</v>
      </c>
      <c r="J1398" s="76">
        <v>-7.85</v>
      </c>
      <c r="K1398" s="83" t="str">
        <f>IFERROR(IFERROR(VLOOKUP(I1398,'DE-PARA'!B:D,3,0),VLOOKUP(I1398,'DE-PARA'!C:D,2,0)),"NÃO ENCONTRADO")</f>
        <v>Outras Saídas</v>
      </c>
      <c r="L1398" s="50" t="str">
        <f>VLOOKUP(K1398,'Base -Receita-Despesa'!$B:$P,1,FALSE)</f>
        <v>Outras Saídas</v>
      </c>
    </row>
    <row r="1399" spans="1:12" ht="15" customHeight="1" x14ac:dyDescent="0.3">
      <c r="A1399" s="82" t="str">
        <f t="shared" si="42"/>
        <v>2016</v>
      </c>
      <c r="B1399" s="72" t="s">
        <v>131</v>
      </c>
      <c r="C1399" s="73" t="s">
        <v>132</v>
      </c>
      <c r="D1399" s="74" t="str">
        <f t="shared" si="43"/>
        <v>jun/2016</v>
      </c>
      <c r="E1399" s="53">
        <v>42534</v>
      </c>
      <c r="F1399" s="75" t="s">
        <v>840</v>
      </c>
      <c r="G1399" s="72"/>
      <c r="H1399" s="49" t="s">
        <v>863</v>
      </c>
      <c r="I1399" s="49" t="s">
        <v>129</v>
      </c>
      <c r="J1399" s="76">
        <v>-7.85</v>
      </c>
      <c r="K1399" s="83" t="str">
        <f>IFERROR(IFERROR(VLOOKUP(I1399,'DE-PARA'!B:D,3,0),VLOOKUP(I1399,'DE-PARA'!C:D,2,0)),"NÃO ENCONTRADO")</f>
        <v>Outras Saídas</v>
      </c>
      <c r="L1399" s="50" t="str">
        <f>VLOOKUP(K1399,'Base -Receita-Despesa'!$B:$P,1,FALSE)</f>
        <v>Outras Saídas</v>
      </c>
    </row>
    <row r="1400" spans="1:12" ht="15" customHeight="1" x14ac:dyDescent="0.3">
      <c r="A1400" s="82" t="str">
        <f t="shared" si="42"/>
        <v>2016</v>
      </c>
      <c r="B1400" s="72" t="s">
        <v>131</v>
      </c>
      <c r="C1400" s="73" t="s">
        <v>132</v>
      </c>
      <c r="D1400" s="74" t="str">
        <f t="shared" si="43"/>
        <v>jun/2016</v>
      </c>
      <c r="E1400" s="53">
        <v>42534</v>
      </c>
      <c r="F1400" s="75" t="s">
        <v>840</v>
      </c>
      <c r="G1400" s="72"/>
      <c r="H1400" s="49" t="s">
        <v>863</v>
      </c>
      <c r="I1400" s="49" t="s">
        <v>129</v>
      </c>
      <c r="J1400" s="76">
        <v>-7.85</v>
      </c>
      <c r="K1400" s="83" t="str">
        <f>IFERROR(IFERROR(VLOOKUP(I1400,'DE-PARA'!B:D,3,0),VLOOKUP(I1400,'DE-PARA'!C:D,2,0)),"NÃO ENCONTRADO")</f>
        <v>Outras Saídas</v>
      </c>
      <c r="L1400" s="50" t="str">
        <f>VLOOKUP(K1400,'Base -Receita-Despesa'!$B:$P,1,FALSE)</f>
        <v>Outras Saídas</v>
      </c>
    </row>
    <row r="1401" spans="1:12" ht="15" customHeight="1" x14ac:dyDescent="0.3">
      <c r="A1401" s="82" t="str">
        <f t="shared" si="42"/>
        <v>2016</v>
      </c>
      <c r="B1401" s="72" t="s">
        <v>131</v>
      </c>
      <c r="C1401" s="73" t="s">
        <v>132</v>
      </c>
      <c r="D1401" s="74" t="str">
        <f t="shared" si="43"/>
        <v>jun/2016</v>
      </c>
      <c r="E1401" s="53">
        <v>42534</v>
      </c>
      <c r="F1401" s="75" t="s">
        <v>840</v>
      </c>
      <c r="G1401" s="72"/>
      <c r="H1401" s="49" t="s">
        <v>863</v>
      </c>
      <c r="I1401" s="49" t="s">
        <v>129</v>
      </c>
      <c r="J1401" s="76">
        <v>-7.85</v>
      </c>
      <c r="K1401" s="83" t="str">
        <f>IFERROR(IFERROR(VLOOKUP(I1401,'DE-PARA'!B:D,3,0),VLOOKUP(I1401,'DE-PARA'!C:D,2,0)),"NÃO ENCONTRADO")</f>
        <v>Outras Saídas</v>
      </c>
      <c r="L1401" s="50" t="str">
        <f>VLOOKUP(K1401,'Base -Receita-Despesa'!$B:$P,1,FALSE)</f>
        <v>Outras Saídas</v>
      </c>
    </row>
    <row r="1402" spans="1:12" ht="15" customHeight="1" x14ac:dyDescent="0.3">
      <c r="A1402" s="82" t="str">
        <f t="shared" si="42"/>
        <v>2016</v>
      </c>
      <c r="B1402" s="72" t="s">
        <v>131</v>
      </c>
      <c r="C1402" s="73" t="s">
        <v>132</v>
      </c>
      <c r="D1402" s="74" t="str">
        <f t="shared" si="43"/>
        <v>jun/2016</v>
      </c>
      <c r="E1402" s="53">
        <v>42534</v>
      </c>
      <c r="F1402" s="75" t="s">
        <v>840</v>
      </c>
      <c r="G1402" s="72"/>
      <c r="H1402" s="49" t="s">
        <v>863</v>
      </c>
      <c r="I1402" s="49" t="s">
        <v>129</v>
      </c>
      <c r="J1402" s="76">
        <v>-7.85</v>
      </c>
      <c r="K1402" s="83" t="str">
        <f>IFERROR(IFERROR(VLOOKUP(I1402,'DE-PARA'!B:D,3,0),VLOOKUP(I1402,'DE-PARA'!C:D,2,0)),"NÃO ENCONTRADO")</f>
        <v>Outras Saídas</v>
      </c>
      <c r="L1402" s="50" t="str">
        <f>VLOOKUP(K1402,'Base -Receita-Despesa'!$B:$P,1,FALSE)</f>
        <v>Outras Saídas</v>
      </c>
    </row>
    <row r="1403" spans="1:12" ht="15" customHeight="1" x14ac:dyDescent="0.3">
      <c r="A1403" s="82" t="str">
        <f t="shared" si="42"/>
        <v>2016</v>
      </c>
      <c r="B1403" s="72" t="s">
        <v>131</v>
      </c>
      <c r="C1403" s="73" t="s">
        <v>132</v>
      </c>
      <c r="D1403" s="74" t="str">
        <f t="shared" si="43"/>
        <v>jun/2016</v>
      </c>
      <c r="E1403" s="53">
        <v>42534</v>
      </c>
      <c r="F1403" s="75" t="s">
        <v>840</v>
      </c>
      <c r="G1403" s="72"/>
      <c r="H1403" s="49" t="s">
        <v>863</v>
      </c>
      <c r="I1403" s="49" t="s">
        <v>129</v>
      </c>
      <c r="J1403" s="76">
        <v>-7.85</v>
      </c>
      <c r="K1403" s="83" t="str">
        <f>IFERROR(IFERROR(VLOOKUP(I1403,'DE-PARA'!B:D,3,0),VLOOKUP(I1403,'DE-PARA'!C:D,2,0)),"NÃO ENCONTRADO")</f>
        <v>Outras Saídas</v>
      </c>
      <c r="L1403" s="50" t="str">
        <f>VLOOKUP(K1403,'Base -Receita-Despesa'!$B:$P,1,FALSE)</f>
        <v>Outras Saídas</v>
      </c>
    </row>
    <row r="1404" spans="1:12" ht="15" customHeight="1" x14ac:dyDescent="0.3">
      <c r="A1404" s="82" t="str">
        <f t="shared" si="42"/>
        <v>2016</v>
      </c>
      <c r="B1404" s="72" t="s">
        <v>131</v>
      </c>
      <c r="C1404" s="73" t="s">
        <v>132</v>
      </c>
      <c r="D1404" s="74" t="str">
        <f t="shared" si="43"/>
        <v>jun/2016</v>
      </c>
      <c r="E1404" s="53">
        <v>42534</v>
      </c>
      <c r="F1404" s="75" t="s">
        <v>840</v>
      </c>
      <c r="G1404" s="72"/>
      <c r="H1404" s="49" t="s">
        <v>863</v>
      </c>
      <c r="I1404" s="49" t="s">
        <v>129</v>
      </c>
      <c r="J1404" s="76">
        <v>-7.85</v>
      </c>
      <c r="K1404" s="83" t="str">
        <f>IFERROR(IFERROR(VLOOKUP(I1404,'DE-PARA'!B:D,3,0),VLOOKUP(I1404,'DE-PARA'!C:D,2,0)),"NÃO ENCONTRADO")</f>
        <v>Outras Saídas</v>
      </c>
      <c r="L1404" s="50" t="str">
        <f>VLOOKUP(K1404,'Base -Receita-Despesa'!$B:$P,1,FALSE)</f>
        <v>Outras Saídas</v>
      </c>
    </row>
    <row r="1405" spans="1:12" ht="15" customHeight="1" x14ac:dyDescent="0.3">
      <c r="A1405" s="82" t="str">
        <f t="shared" si="42"/>
        <v>2016</v>
      </c>
      <c r="B1405" s="72" t="s">
        <v>131</v>
      </c>
      <c r="C1405" s="73" t="s">
        <v>132</v>
      </c>
      <c r="D1405" s="74" t="str">
        <f t="shared" si="43"/>
        <v>jun/2016</v>
      </c>
      <c r="E1405" s="53">
        <v>42534</v>
      </c>
      <c r="F1405" s="75" t="s">
        <v>840</v>
      </c>
      <c r="G1405" s="72"/>
      <c r="H1405" s="49" t="s">
        <v>863</v>
      </c>
      <c r="I1405" s="49" t="s">
        <v>129</v>
      </c>
      <c r="J1405" s="76">
        <v>-7.85</v>
      </c>
      <c r="K1405" s="83" t="str">
        <f>IFERROR(IFERROR(VLOOKUP(I1405,'DE-PARA'!B:D,3,0),VLOOKUP(I1405,'DE-PARA'!C:D,2,0)),"NÃO ENCONTRADO")</f>
        <v>Outras Saídas</v>
      </c>
      <c r="L1405" s="50" t="str">
        <f>VLOOKUP(K1405,'Base -Receita-Despesa'!$B:$P,1,FALSE)</f>
        <v>Outras Saídas</v>
      </c>
    </row>
    <row r="1406" spans="1:12" ht="15" customHeight="1" x14ac:dyDescent="0.3">
      <c r="A1406" s="82" t="str">
        <f t="shared" si="42"/>
        <v>2016</v>
      </c>
      <c r="B1406" s="72" t="s">
        <v>131</v>
      </c>
      <c r="C1406" s="73" t="s">
        <v>132</v>
      </c>
      <c r="D1406" s="74" t="str">
        <f t="shared" si="43"/>
        <v>jun/2016</v>
      </c>
      <c r="E1406" s="53">
        <v>42534</v>
      </c>
      <c r="F1406" s="75" t="s">
        <v>840</v>
      </c>
      <c r="G1406" s="72"/>
      <c r="H1406" s="49" t="s">
        <v>863</v>
      </c>
      <c r="I1406" s="49" t="s">
        <v>129</v>
      </c>
      <c r="J1406" s="76">
        <v>-7.85</v>
      </c>
      <c r="K1406" s="83" t="str">
        <f>IFERROR(IFERROR(VLOOKUP(I1406,'DE-PARA'!B:D,3,0),VLOOKUP(I1406,'DE-PARA'!C:D,2,0)),"NÃO ENCONTRADO")</f>
        <v>Outras Saídas</v>
      </c>
      <c r="L1406" s="50" t="str">
        <f>VLOOKUP(K1406,'Base -Receita-Despesa'!$B:$P,1,FALSE)</f>
        <v>Outras Saídas</v>
      </c>
    </row>
    <row r="1407" spans="1:12" ht="15" customHeight="1" x14ac:dyDescent="0.3">
      <c r="A1407" s="82" t="str">
        <f t="shared" si="42"/>
        <v>2016</v>
      </c>
      <c r="B1407" s="72" t="s">
        <v>131</v>
      </c>
      <c r="C1407" s="73" t="s">
        <v>132</v>
      </c>
      <c r="D1407" s="74" t="str">
        <f t="shared" si="43"/>
        <v>jun/2016</v>
      </c>
      <c r="E1407" s="53">
        <v>42534</v>
      </c>
      <c r="F1407" s="75" t="s">
        <v>840</v>
      </c>
      <c r="G1407" s="72"/>
      <c r="H1407" s="49" t="s">
        <v>863</v>
      </c>
      <c r="I1407" s="49" t="s">
        <v>129</v>
      </c>
      <c r="J1407" s="76">
        <v>-7.85</v>
      </c>
      <c r="K1407" s="83" t="str">
        <f>IFERROR(IFERROR(VLOOKUP(I1407,'DE-PARA'!B:D,3,0),VLOOKUP(I1407,'DE-PARA'!C:D,2,0)),"NÃO ENCONTRADO")</f>
        <v>Outras Saídas</v>
      </c>
      <c r="L1407" s="50" t="str">
        <f>VLOOKUP(K1407,'Base -Receita-Despesa'!$B:$P,1,FALSE)</f>
        <v>Outras Saídas</v>
      </c>
    </row>
    <row r="1408" spans="1:12" ht="15" customHeight="1" x14ac:dyDescent="0.3">
      <c r="A1408" s="82" t="str">
        <f t="shared" si="42"/>
        <v>2016</v>
      </c>
      <c r="B1408" s="72" t="s">
        <v>131</v>
      </c>
      <c r="C1408" s="73" t="s">
        <v>132</v>
      </c>
      <c r="D1408" s="74" t="str">
        <f t="shared" si="43"/>
        <v>jun/2016</v>
      </c>
      <c r="E1408" s="53">
        <v>42534</v>
      </c>
      <c r="F1408" s="75" t="s">
        <v>840</v>
      </c>
      <c r="G1408" s="72"/>
      <c r="H1408" s="49" t="s">
        <v>863</v>
      </c>
      <c r="I1408" s="49" t="s">
        <v>129</v>
      </c>
      <c r="J1408" s="76">
        <v>-7.85</v>
      </c>
      <c r="K1408" s="83" t="str">
        <f>IFERROR(IFERROR(VLOOKUP(I1408,'DE-PARA'!B:D,3,0),VLOOKUP(I1408,'DE-PARA'!C:D,2,0)),"NÃO ENCONTRADO")</f>
        <v>Outras Saídas</v>
      </c>
      <c r="L1408" s="50" t="str">
        <f>VLOOKUP(K1408,'Base -Receita-Despesa'!$B:$P,1,FALSE)</f>
        <v>Outras Saídas</v>
      </c>
    </row>
    <row r="1409" spans="1:12" ht="15" customHeight="1" x14ac:dyDescent="0.3">
      <c r="A1409" s="82" t="str">
        <f t="shared" si="42"/>
        <v>2016</v>
      </c>
      <c r="B1409" s="72" t="s">
        <v>131</v>
      </c>
      <c r="C1409" s="73" t="s">
        <v>132</v>
      </c>
      <c r="D1409" s="74" t="str">
        <f t="shared" si="43"/>
        <v>jun/2016</v>
      </c>
      <c r="E1409" s="53">
        <v>42534</v>
      </c>
      <c r="F1409" s="75" t="s">
        <v>1094</v>
      </c>
      <c r="G1409" s="72"/>
      <c r="H1409" s="49" t="s">
        <v>904</v>
      </c>
      <c r="I1409" s="49" t="s">
        <v>905</v>
      </c>
      <c r="J1409" s="76">
        <v>-559.66999999999996</v>
      </c>
      <c r="K1409" s="83" t="str">
        <f>IFERROR(IFERROR(VLOOKUP(I1409,'DE-PARA'!B:D,3,0),VLOOKUP(I1409,'DE-PARA'!C:D,2,0)),"NÃO ENCONTRADO")</f>
        <v>Materiais</v>
      </c>
      <c r="L1409" s="50" t="str">
        <f>VLOOKUP(K1409,'Base -Receita-Despesa'!$B:$P,1,FALSE)</f>
        <v>Materiais</v>
      </c>
    </row>
    <row r="1410" spans="1:12" ht="15" customHeight="1" x14ac:dyDescent="0.3">
      <c r="A1410" s="82" t="str">
        <f t="shared" si="42"/>
        <v>2016</v>
      </c>
      <c r="B1410" s="72" t="s">
        <v>131</v>
      </c>
      <c r="C1410" s="73" t="s">
        <v>132</v>
      </c>
      <c r="D1410" s="74" t="str">
        <f t="shared" si="43"/>
        <v>jun/2016</v>
      </c>
      <c r="E1410" s="53">
        <v>42534</v>
      </c>
      <c r="F1410" s="75" t="s">
        <v>1095</v>
      </c>
      <c r="G1410" s="72"/>
      <c r="H1410" s="49" t="s">
        <v>904</v>
      </c>
      <c r="I1410" s="49" t="s">
        <v>905</v>
      </c>
      <c r="J1410" s="76">
        <v>-636</v>
      </c>
      <c r="K1410" s="83" t="str">
        <f>IFERROR(IFERROR(VLOOKUP(I1410,'DE-PARA'!B:D,3,0),VLOOKUP(I1410,'DE-PARA'!C:D,2,0)),"NÃO ENCONTRADO")</f>
        <v>Materiais</v>
      </c>
      <c r="L1410" s="50" t="str">
        <f>VLOOKUP(K1410,'Base -Receita-Despesa'!$B:$P,1,FALSE)</f>
        <v>Materiais</v>
      </c>
    </row>
    <row r="1411" spans="1:12" ht="15" customHeight="1" x14ac:dyDescent="0.3">
      <c r="A1411" s="82" t="str">
        <f t="shared" si="42"/>
        <v>2016</v>
      </c>
      <c r="B1411" s="72" t="s">
        <v>131</v>
      </c>
      <c r="C1411" s="73" t="s">
        <v>132</v>
      </c>
      <c r="D1411" s="74" t="str">
        <f t="shared" si="43"/>
        <v>jun/2016</v>
      </c>
      <c r="E1411" s="53">
        <v>42534</v>
      </c>
      <c r="F1411" s="75" t="s">
        <v>1096</v>
      </c>
      <c r="G1411" s="72"/>
      <c r="H1411" s="49" t="s">
        <v>655</v>
      </c>
      <c r="I1411" s="49" t="s">
        <v>167</v>
      </c>
      <c r="J1411" s="76">
        <v>-261</v>
      </c>
      <c r="K1411" s="83" t="str">
        <f>IFERROR(IFERROR(VLOOKUP(I1411,'DE-PARA'!B:D,3,0),VLOOKUP(I1411,'DE-PARA'!C:D,2,0)),"NÃO ENCONTRADO")</f>
        <v>Materiais</v>
      </c>
      <c r="L1411" s="50" t="str">
        <f>VLOOKUP(K1411,'Base -Receita-Despesa'!$B:$P,1,FALSE)</f>
        <v>Materiais</v>
      </c>
    </row>
    <row r="1412" spans="1:12" ht="15" customHeight="1" x14ac:dyDescent="0.3">
      <c r="A1412" s="82" t="str">
        <f t="shared" ref="A1412:A1475" si="44">IF(K1412="NÃO ENCONTRADO",0,RIGHT(D1412,4))</f>
        <v>2016</v>
      </c>
      <c r="B1412" s="72" t="s">
        <v>131</v>
      </c>
      <c r="C1412" s="73" t="s">
        <v>132</v>
      </c>
      <c r="D1412" s="74" t="str">
        <f t="shared" ref="D1412:D1475" si="45">TEXT(E1412,"mmm/aaaa")</f>
        <v>jun/2016</v>
      </c>
      <c r="E1412" s="53">
        <v>42534</v>
      </c>
      <c r="F1412" s="75" t="s">
        <v>1097</v>
      </c>
      <c r="G1412" s="72"/>
      <c r="H1412" s="49" t="s">
        <v>202</v>
      </c>
      <c r="I1412" s="49" t="s">
        <v>191</v>
      </c>
      <c r="J1412" s="76">
        <v>-10000</v>
      </c>
      <c r="K1412" s="83" t="str">
        <f>IFERROR(IFERROR(VLOOKUP(I1412,'DE-PARA'!B:D,3,0),VLOOKUP(I1412,'DE-PARA'!C:D,2,0)),"NÃO ENCONTRADO")</f>
        <v>Serviços</v>
      </c>
      <c r="L1412" s="50" t="str">
        <f>VLOOKUP(K1412,'Base -Receita-Despesa'!$B:$P,1,FALSE)</f>
        <v>Serviços</v>
      </c>
    </row>
    <row r="1413" spans="1:12" ht="15" customHeight="1" x14ac:dyDescent="0.3">
      <c r="A1413" s="82" t="str">
        <f t="shared" si="44"/>
        <v>2016</v>
      </c>
      <c r="B1413" s="72" t="s">
        <v>131</v>
      </c>
      <c r="C1413" s="73" t="s">
        <v>132</v>
      </c>
      <c r="D1413" s="74" t="str">
        <f t="shared" si="45"/>
        <v>jun/2016</v>
      </c>
      <c r="E1413" s="53">
        <v>42534</v>
      </c>
      <c r="F1413" s="75" t="s">
        <v>1098</v>
      </c>
      <c r="G1413" s="72"/>
      <c r="H1413" s="49" t="s">
        <v>203</v>
      </c>
      <c r="I1413" s="49" t="s">
        <v>204</v>
      </c>
      <c r="J1413" s="76">
        <v>-68.099999999999994</v>
      </c>
      <c r="K1413" s="83" t="str">
        <f>IFERROR(IFERROR(VLOOKUP(I1413,'DE-PARA'!B:D,3,0),VLOOKUP(I1413,'DE-PARA'!C:D,2,0)),"NÃO ENCONTRADO")</f>
        <v>Serviços</v>
      </c>
      <c r="L1413" s="50" t="str">
        <f>VLOOKUP(K1413,'Base -Receita-Despesa'!$B:$P,1,FALSE)</f>
        <v>Serviços</v>
      </c>
    </row>
    <row r="1414" spans="1:12" ht="15" customHeight="1" x14ac:dyDescent="0.3">
      <c r="A1414" s="82" t="str">
        <f t="shared" si="44"/>
        <v>2016</v>
      </c>
      <c r="B1414" s="72" t="s">
        <v>131</v>
      </c>
      <c r="C1414" s="73" t="s">
        <v>132</v>
      </c>
      <c r="D1414" s="74" t="str">
        <f t="shared" si="45"/>
        <v>jun/2016</v>
      </c>
      <c r="E1414" s="53">
        <v>42534</v>
      </c>
      <c r="F1414" s="75" t="s">
        <v>1099</v>
      </c>
      <c r="G1414" s="72"/>
      <c r="H1414" s="49" t="s">
        <v>1100</v>
      </c>
      <c r="I1414" s="49" t="s">
        <v>150</v>
      </c>
      <c r="J1414" s="76">
        <v>-312.57</v>
      </c>
      <c r="K1414" s="83" t="str">
        <f>IFERROR(IFERROR(VLOOKUP(I1414,'DE-PARA'!B:D,3,0),VLOOKUP(I1414,'DE-PARA'!C:D,2,0)),"NÃO ENCONTRADO")</f>
        <v>Materiais</v>
      </c>
      <c r="L1414" s="50" t="str">
        <f>VLOOKUP(K1414,'Base -Receita-Despesa'!$B:$P,1,FALSE)</f>
        <v>Materiais</v>
      </c>
    </row>
    <row r="1415" spans="1:12" ht="15" customHeight="1" x14ac:dyDescent="0.3">
      <c r="A1415" s="82" t="str">
        <f t="shared" si="44"/>
        <v>2016</v>
      </c>
      <c r="B1415" s="72" t="s">
        <v>131</v>
      </c>
      <c r="C1415" s="73" t="s">
        <v>132</v>
      </c>
      <c r="D1415" s="74" t="str">
        <f t="shared" si="45"/>
        <v>jun/2016</v>
      </c>
      <c r="E1415" s="53">
        <v>42534</v>
      </c>
      <c r="F1415" s="75" t="s">
        <v>1101</v>
      </c>
      <c r="G1415" s="72"/>
      <c r="H1415" s="49" t="s">
        <v>1100</v>
      </c>
      <c r="I1415" s="49" t="s">
        <v>150</v>
      </c>
      <c r="J1415" s="76">
        <v>-1436.53</v>
      </c>
      <c r="K1415" s="83" t="str">
        <f>IFERROR(IFERROR(VLOOKUP(I1415,'DE-PARA'!B:D,3,0),VLOOKUP(I1415,'DE-PARA'!C:D,2,0)),"NÃO ENCONTRADO")</f>
        <v>Materiais</v>
      </c>
      <c r="L1415" s="50" t="str">
        <f>VLOOKUP(K1415,'Base -Receita-Despesa'!$B:$P,1,FALSE)</f>
        <v>Materiais</v>
      </c>
    </row>
    <row r="1416" spans="1:12" ht="15" customHeight="1" x14ac:dyDescent="0.3">
      <c r="A1416" s="82" t="str">
        <f t="shared" si="44"/>
        <v>2016</v>
      </c>
      <c r="B1416" s="72" t="s">
        <v>131</v>
      </c>
      <c r="C1416" s="73" t="s">
        <v>132</v>
      </c>
      <c r="D1416" s="74" t="str">
        <f t="shared" si="45"/>
        <v>jun/2016</v>
      </c>
      <c r="E1416" s="53">
        <v>42534</v>
      </c>
      <c r="F1416" s="75" t="s">
        <v>252</v>
      </c>
      <c r="G1416" s="72"/>
      <c r="H1416" s="49" t="s">
        <v>1084</v>
      </c>
      <c r="I1416" s="49" t="s">
        <v>168</v>
      </c>
      <c r="J1416" s="76">
        <v>3258.16</v>
      </c>
      <c r="K1416" s="83" t="str">
        <f>IFERROR(IFERROR(VLOOKUP(I1416,'DE-PARA'!B:D,3,0),VLOOKUP(I1416,'DE-PARA'!C:D,2,0)),"NÃO ENCONTRADO")</f>
        <v>Pessoal</v>
      </c>
      <c r="L1416" s="50" t="str">
        <f>VLOOKUP(K1416,'Base -Receita-Despesa'!$B:$P,1,FALSE)</f>
        <v>Pessoal</v>
      </c>
    </row>
    <row r="1417" spans="1:12" ht="15" customHeight="1" x14ac:dyDescent="0.3">
      <c r="A1417" s="82" t="str">
        <f t="shared" si="44"/>
        <v>2016</v>
      </c>
      <c r="B1417" s="72" t="s">
        <v>131</v>
      </c>
      <c r="C1417" s="73" t="s">
        <v>132</v>
      </c>
      <c r="D1417" s="74" t="str">
        <f t="shared" si="45"/>
        <v>jun/2016</v>
      </c>
      <c r="E1417" s="53">
        <v>42534</v>
      </c>
      <c r="F1417" s="75" t="s">
        <v>1102</v>
      </c>
      <c r="G1417" s="72"/>
      <c r="H1417" s="49" t="s">
        <v>221</v>
      </c>
      <c r="I1417" s="49" t="s">
        <v>110</v>
      </c>
      <c r="J1417" s="76">
        <v>-3200</v>
      </c>
      <c r="K1417" s="83" t="str">
        <f>IFERROR(IFERROR(VLOOKUP(I1417,'DE-PARA'!B:D,3,0),VLOOKUP(I1417,'DE-PARA'!C:D,2,0)),"NÃO ENCONTRADO")</f>
        <v>Serviços</v>
      </c>
      <c r="L1417" s="50" t="str">
        <f>VLOOKUP(K1417,'Base -Receita-Despesa'!$B:$P,1,FALSE)</f>
        <v>Serviços</v>
      </c>
    </row>
    <row r="1418" spans="1:12" ht="15" customHeight="1" x14ac:dyDescent="0.3">
      <c r="A1418" s="82" t="str">
        <f t="shared" si="44"/>
        <v>2016</v>
      </c>
      <c r="B1418" s="72" t="s">
        <v>131</v>
      </c>
      <c r="C1418" s="73" t="s">
        <v>132</v>
      </c>
      <c r="D1418" s="74" t="str">
        <f t="shared" si="45"/>
        <v>jun/2016</v>
      </c>
      <c r="E1418" s="53">
        <v>42534</v>
      </c>
      <c r="F1418" s="75" t="s">
        <v>199</v>
      </c>
      <c r="G1418" s="72"/>
      <c r="H1418" s="49" t="s">
        <v>1103</v>
      </c>
      <c r="I1418" s="49" t="s">
        <v>192</v>
      </c>
      <c r="J1418" s="76">
        <v>-43.05</v>
      </c>
      <c r="K1418" s="83" t="str">
        <f>IFERROR(IFERROR(VLOOKUP(I1418,'DE-PARA'!B:D,3,0),VLOOKUP(I1418,'DE-PARA'!C:D,2,0)),"NÃO ENCONTRADO")</f>
        <v>Materiais</v>
      </c>
      <c r="L1418" s="50" t="str">
        <f>VLOOKUP(K1418,'Base -Receita-Despesa'!$B:$P,1,FALSE)</f>
        <v>Materiais</v>
      </c>
    </row>
    <row r="1419" spans="1:12" ht="15" customHeight="1" x14ac:dyDescent="0.3">
      <c r="A1419" s="82" t="str">
        <f t="shared" si="44"/>
        <v>2016</v>
      </c>
      <c r="B1419" s="72" t="s">
        <v>131</v>
      </c>
      <c r="C1419" s="73" t="s">
        <v>132</v>
      </c>
      <c r="D1419" s="74" t="str">
        <f t="shared" si="45"/>
        <v>jun/2016</v>
      </c>
      <c r="E1419" s="53">
        <v>42534</v>
      </c>
      <c r="F1419" s="75" t="s">
        <v>1104</v>
      </c>
      <c r="G1419" s="72"/>
      <c r="H1419" s="49" t="s">
        <v>1105</v>
      </c>
      <c r="I1419" s="49" t="s">
        <v>150</v>
      </c>
      <c r="J1419" s="76">
        <v>1221.3</v>
      </c>
      <c r="K1419" s="83" t="str">
        <f>IFERROR(IFERROR(VLOOKUP(I1419,'DE-PARA'!B:D,3,0),VLOOKUP(I1419,'DE-PARA'!C:D,2,0)),"NÃO ENCONTRADO")</f>
        <v>Materiais</v>
      </c>
      <c r="L1419" s="50" t="str">
        <f>VLOOKUP(K1419,'Base -Receita-Despesa'!$B:$P,1,FALSE)</f>
        <v>Materiais</v>
      </c>
    </row>
    <row r="1420" spans="1:12" ht="15" customHeight="1" x14ac:dyDescent="0.3">
      <c r="A1420" s="82" t="str">
        <f t="shared" si="44"/>
        <v>2016</v>
      </c>
      <c r="B1420" s="72" t="s">
        <v>131</v>
      </c>
      <c r="C1420" s="73" t="s">
        <v>132</v>
      </c>
      <c r="D1420" s="74" t="str">
        <f t="shared" si="45"/>
        <v>jun/2016</v>
      </c>
      <c r="E1420" s="53">
        <v>42534</v>
      </c>
      <c r="F1420" s="75" t="s">
        <v>1104</v>
      </c>
      <c r="G1420" s="72"/>
      <c r="H1420" s="49" t="s">
        <v>1105</v>
      </c>
      <c r="I1420" s="49" t="s">
        <v>150</v>
      </c>
      <c r="J1420" s="76">
        <v>-1221.3</v>
      </c>
      <c r="K1420" s="83" t="str">
        <f>IFERROR(IFERROR(VLOOKUP(I1420,'DE-PARA'!B:D,3,0),VLOOKUP(I1420,'DE-PARA'!C:D,2,0)),"NÃO ENCONTRADO")</f>
        <v>Materiais</v>
      </c>
      <c r="L1420" s="50" t="str">
        <f>VLOOKUP(K1420,'Base -Receita-Despesa'!$B:$P,1,FALSE)</f>
        <v>Materiais</v>
      </c>
    </row>
    <row r="1421" spans="1:12" ht="15" customHeight="1" x14ac:dyDescent="0.3">
      <c r="A1421" s="82" t="str">
        <f t="shared" si="44"/>
        <v>2016</v>
      </c>
      <c r="B1421" s="72" t="s">
        <v>131</v>
      </c>
      <c r="C1421" s="73" t="s">
        <v>132</v>
      </c>
      <c r="D1421" s="74" t="str">
        <f t="shared" si="45"/>
        <v>jun/2016</v>
      </c>
      <c r="E1421" s="53">
        <v>42534</v>
      </c>
      <c r="F1421" s="75" t="s">
        <v>199</v>
      </c>
      <c r="G1421" s="72"/>
      <c r="H1421" s="49" t="s">
        <v>398</v>
      </c>
      <c r="I1421" s="49" t="s">
        <v>192</v>
      </c>
      <c r="J1421" s="76">
        <v>-89.2</v>
      </c>
      <c r="K1421" s="83" t="str">
        <f>IFERROR(IFERROR(VLOOKUP(I1421,'DE-PARA'!B:D,3,0),VLOOKUP(I1421,'DE-PARA'!C:D,2,0)),"NÃO ENCONTRADO")</f>
        <v>Materiais</v>
      </c>
      <c r="L1421" s="50" t="str">
        <f>VLOOKUP(K1421,'Base -Receita-Despesa'!$B:$P,1,FALSE)</f>
        <v>Materiais</v>
      </c>
    </row>
    <row r="1422" spans="1:12" ht="15" customHeight="1" x14ac:dyDescent="0.3">
      <c r="A1422" s="82" t="str">
        <f t="shared" si="44"/>
        <v>2016</v>
      </c>
      <c r="B1422" s="72" t="s">
        <v>131</v>
      </c>
      <c r="C1422" s="73" t="s">
        <v>132</v>
      </c>
      <c r="D1422" s="74" t="str">
        <f t="shared" si="45"/>
        <v>jun/2016</v>
      </c>
      <c r="E1422" s="53">
        <v>42534</v>
      </c>
      <c r="F1422" s="75" t="s">
        <v>1106</v>
      </c>
      <c r="G1422" s="72"/>
      <c r="H1422" s="49" t="s">
        <v>208</v>
      </c>
      <c r="I1422" s="49" t="s">
        <v>159</v>
      </c>
      <c r="J1422" s="76">
        <v>-949</v>
      </c>
      <c r="K1422" s="83" t="str">
        <f>IFERROR(IFERROR(VLOOKUP(I1422,'DE-PARA'!B:D,3,0),VLOOKUP(I1422,'DE-PARA'!C:D,2,0)),"NÃO ENCONTRADO")</f>
        <v>Materiais</v>
      </c>
      <c r="L1422" s="50" t="str">
        <f>VLOOKUP(K1422,'Base -Receita-Despesa'!$B:$P,1,FALSE)</f>
        <v>Materiais</v>
      </c>
    </row>
    <row r="1423" spans="1:12" ht="15" customHeight="1" x14ac:dyDescent="0.3">
      <c r="A1423" s="82" t="str">
        <f t="shared" si="44"/>
        <v>2016</v>
      </c>
      <c r="B1423" s="72" t="s">
        <v>131</v>
      </c>
      <c r="C1423" s="73" t="s">
        <v>132</v>
      </c>
      <c r="D1423" s="74" t="str">
        <f t="shared" si="45"/>
        <v>jun/2016</v>
      </c>
      <c r="E1423" s="53">
        <v>42534</v>
      </c>
      <c r="F1423" s="75" t="s">
        <v>1107</v>
      </c>
      <c r="G1423" s="72"/>
      <c r="H1423" s="49" t="s">
        <v>1108</v>
      </c>
      <c r="I1423" s="49" t="s">
        <v>196</v>
      </c>
      <c r="J1423" s="76">
        <v>-360</v>
      </c>
      <c r="K1423" s="83" t="str">
        <f>IFERROR(IFERROR(VLOOKUP(I1423,'DE-PARA'!B:D,3,0),VLOOKUP(I1423,'DE-PARA'!C:D,2,0)),"NÃO ENCONTRADO")</f>
        <v>Materiais</v>
      </c>
      <c r="L1423" s="50" t="str">
        <f>VLOOKUP(K1423,'Base -Receita-Despesa'!$B:$P,1,FALSE)</f>
        <v>Materiais</v>
      </c>
    </row>
    <row r="1424" spans="1:12" ht="15" customHeight="1" x14ac:dyDescent="0.3">
      <c r="A1424" s="82" t="str">
        <f t="shared" si="44"/>
        <v>2016</v>
      </c>
      <c r="B1424" s="72" t="s">
        <v>131</v>
      </c>
      <c r="C1424" s="73" t="s">
        <v>132</v>
      </c>
      <c r="D1424" s="74" t="str">
        <f t="shared" si="45"/>
        <v>jun/2016</v>
      </c>
      <c r="E1424" s="53">
        <v>42534</v>
      </c>
      <c r="F1424" s="75" t="s">
        <v>1109</v>
      </c>
      <c r="G1424" s="72"/>
      <c r="H1424" s="49" t="s">
        <v>1110</v>
      </c>
      <c r="I1424" s="49" t="s">
        <v>167</v>
      </c>
      <c r="J1424" s="76">
        <v>-657</v>
      </c>
      <c r="K1424" s="83" t="str">
        <f>IFERROR(IFERROR(VLOOKUP(I1424,'DE-PARA'!B:D,3,0),VLOOKUP(I1424,'DE-PARA'!C:D,2,0)),"NÃO ENCONTRADO")</f>
        <v>Materiais</v>
      </c>
      <c r="L1424" s="50" t="str">
        <f>VLOOKUP(K1424,'Base -Receita-Despesa'!$B:$P,1,FALSE)</f>
        <v>Materiais</v>
      </c>
    </row>
    <row r="1425" spans="1:12" ht="15" customHeight="1" x14ac:dyDescent="0.3">
      <c r="A1425" s="82" t="str">
        <f t="shared" si="44"/>
        <v>2016</v>
      </c>
      <c r="B1425" s="72" t="s">
        <v>131</v>
      </c>
      <c r="C1425" s="73" t="s">
        <v>132</v>
      </c>
      <c r="D1425" s="74" t="str">
        <f t="shared" si="45"/>
        <v>jun/2016</v>
      </c>
      <c r="E1425" s="53">
        <v>42534</v>
      </c>
      <c r="F1425" s="75" t="s">
        <v>1111</v>
      </c>
      <c r="G1425" s="72"/>
      <c r="H1425" s="49" t="s">
        <v>503</v>
      </c>
      <c r="I1425" s="49" t="s">
        <v>159</v>
      </c>
      <c r="J1425" s="76">
        <v>-453.4</v>
      </c>
      <c r="K1425" s="83" t="str">
        <f>IFERROR(IFERROR(VLOOKUP(I1425,'DE-PARA'!B:D,3,0),VLOOKUP(I1425,'DE-PARA'!C:D,2,0)),"NÃO ENCONTRADO")</f>
        <v>Materiais</v>
      </c>
      <c r="L1425" s="50" t="str">
        <f>VLOOKUP(K1425,'Base -Receita-Despesa'!$B:$P,1,FALSE)</f>
        <v>Materiais</v>
      </c>
    </row>
    <row r="1426" spans="1:12" ht="15" customHeight="1" x14ac:dyDescent="0.3">
      <c r="A1426" s="82" t="str">
        <f t="shared" si="44"/>
        <v>2016</v>
      </c>
      <c r="B1426" s="72" t="s">
        <v>131</v>
      </c>
      <c r="C1426" s="73" t="s">
        <v>132</v>
      </c>
      <c r="D1426" s="74" t="str">
        <f t="shared" si="45"/>
        <v>jun/2016</v>
      </c>
      <c r="E1426" s="53">
        <v>42534</v>
      </c>
      <c r="F1426" s="75" t="s">
        <v>1112</v>
      </c>
      <c r="G1426" s="72"/>
      <c r="H1426" s="49" t="s">
        <v>503</v>
      </c>
      <c r="I1426" s="49" t="s">
        <v>159</v>
      </c>
      <c r="J1426" s="76">
        <v>-418.19</v>
      </c>
      <c r="K1426" s="83" t="str">
        <f>IFERROR(IFERROR(VLOOKUP(I1426,'DE-PARA'!B:D,3,0),VLOOKUP(I1426,'DE-PARA'!C:D,2,0)),"NÃO ENCONTRADO")</f>
        <v>Materiais</v>
      </c>
      <c r="L1426" s="50" t="str">
        <f>VLOOKUP(K1426,'Base -Receita-Despesa'!$B:$P,1,FALSE)</f>
        <v>Materiais</v>
      </c>
    </row>
    <row r="1427" spans="1:12" ht="15" customHeight="1" x14ac:dyDescent="0.3">
      <c r="A1427" s="82" t="str">
        <f t="shared" si="44"/>
        <v>2016</v>
      </c>
      <c r="B1427" s="72" t="s">
        <v>131</v>
      </c>
      <c r="C1427" s="73" t="s">
        <v>132</v>
      </c>
      <c r="D1427" s="74" t="str">
        <f t="shared" si="45"/>
        <v>jun/2016</v>
      </c>
      <c r="E1427" s="53">
        <v>42534</v>
      </c>
      <c r="F1427" s="75" t="s">
        <v>1113</v>
      </c>
      <c r="G1427" s="72"/>
      <c r="H1427" s="49" t="s">
        <v>503</v>
      </c>
      <c r="I1427" s="49" t="s">
        <v>159</v>
      </c>
      <c r="J1427" s="76">
        <v>-866.66</v>
      </c>
      <c r="K1427" s="83" t="str">
        <f>IFERROR(IFERROR(VLOOKUP(I1427,'DE-PARA'!B:D,3,0),VLOOKUP(I1427,'DE-PARA'!C:D,2,0)),"NÃO ENCONTRADO")</f>
        <v>Materiais</v>
      </c>
      <c r="L1427" s="50" t="str">
        <f>VLOOKUP(K1427,'Base -Receita-Despesa'!$B:$P,1,FALSE)</f>
        <v>Materiais</v>
      </c>
    </row>
    <row r="1428" spans="1:12" ht="15" customHeight="1" x14ac:dyDescent="0.3">
      <c r="A1428" s="82" t="str">
        <f t="shared" si="44"/>
        <v>2016</v>
      </c>
      <c r="B1428" s="72" t="s">
        <v>131</v>
      </c>
      <c r="C1428" s="73" t="s">
        <v>132</v>
      </c>
      <c r="D1428" s="74" t="str">
        <f t="shared" si="45"/>
        <v>jun/2016</v>
      </c>
      <c r="E1428" s="53">
        <v>42534</v>
      </c>
      <c r="F1428" s="75" t="s">
        <v>1114</v>
      </c>
      <c r="G1428" s="72"/>
      <c r="H1428" s="49" t="s">
        <v>503</v>
      </c>
      <c r="I1428" s="49" t="s">
        <v>159</v>
      </c>
      <c r="J1428" s="76">
        <v>-216.96</v>
      </c>
      <c r="K1428" s="83" t="str">
        <f>IFERROR(IFERROR(VLOOKUP(I1428,'DE-PARA'!B:D,3,0),VLOOKUP(I1428,'DE-PARA'!C:D,2,0)),"NÃO ENCONTRADO")</f>
        <v>Materiais</v>
      </c>
      <c r="L1428" s="50" t="str">
        <f>VLOOKUP(K1428,'Base -Receita-Despesa'!$B:$P,1,FALSE)</f>
        <v>Materiais</v>
      </c>
    </row>
    <row r="1429" spans="1:12" ht="15" customHeight="1" x14ac:dyDescent="0.3">
      <c r="A1429" s="82" t="str">
        <f t="shared" si="44"/>
        <v>2016</v>
      </c>
      <c r="B1429" s="72" t="s">
        <v>131</v>
      </c>
      <c r="C1429" s="73" t="s">
        <v>132</v>
      </c>
      <c r="D1429" s="74" t="str">
        <f t="shared" si="45"/>
        <v>jun/2016</v>
      </c>
      <c r="E1429" s="53">
        <v>42534</v>
      </c>
      <c r="F1429" s="75" t="s">
        <v>1111</v>
      </c>
      <c r="G1429" s="72"/>
      <c r="H1429" s="49" t="s">
        <v>503</v>
      </c>
      <c r="I1429" s="49" t="s">
        <v>159</v>
      </c>
      <c r="J1429" s="76">
        <v>-453.4</v>
      </c>
      <c r="K1429" s="83" t="str">
        <f>IFERROR(IFERROR(VLOOKUP(I1429,'DE-PARA'!B:D,3,0),VLOOKUP(I1429,'DE-PARA'!C:D,2,0)),"NÃO ENCONTRADO")</f>
        <v>Materiais</v>
      </c>
      <c r="L1429" s="50" t="str">
        <f>VLOOKUP(K1429,'Base -Receita-Despesa'!$B:$P,1,FALSE)</f>
        <v>Materiais</v>
      </c>
    </row>
    <row r="1430" spans="1:12" ht="15" customHeight="1" x14ac:dyDescent="0.3">
      <c r="A1430" s="82" t="str">
        <f t="shared" si="44"/>
        <v>2016</v>
      </c>
      <c r="B1430" s="72" t="s">
        <v>131</v>
      </c>
      <c r="C1430" s="73" t="s">
        <v>132</v>
      </c>
      <c r="D1430" s="74" t="str">
        <f t="shared" si="45"/>
        <v>jun/2016</v>
      </c>
      <c r="E1430" s="53">
        <v>42534</v>
      </c>
      <c r="F1430" s="75" t="s">
        <v>1115</v>
      </c>
      <c r="G1430" s="72"/>
      <c r="H1430" s="49" t="s">
        <v>503</v>
      </c>
      <c r="I1430" s="49" t="s">
        <v>159</v>
      </c>
      <c r="J1430" s="76">
        <v>-168.6</v>
      </c>
      <c r="K1430" s="83" t="str">
        <f>IFERROR(IFERROR(VLOOKUP(I1430,'DE-PARA'!B:D,3,0),VLOOKUP(I1430,'DE-PARA'!C:D,2,0)),"NÃO ENCONTRADO")</f>
        <v>Materiais</v>
      </c>
      <c r="L1430" s="50" t="str">
        <f>VLOOKUP(K1430,'Base -Receita-Despesa'!$B:$P,1,FALSE)</f>
        <v>Materiais</v>
      </c>
    </row>
    <row r="1431" spans="1:12" ht="15" customHeight="1" x14ac:dyDescent="0.3">
      <c r="A1431" s="82" t="str">
        <f t="shared" si="44"/>
        <v>2016</v>
      </c>
      <c r="B1431" s="72" t="s">
        <v>131</v>
      </c>
      <c r="C1431" s="73" t="s">
        <v>132</v>
      </c>
      <c r="D1431" s="74" t="str">
        <f t="shared" si="45"/>
        <v>jun/2016</v>
      </c>
      <c r="E1431" s="53">
        <v>42534</v>
      </c>
      <c r="F1431" s="75" t="s">
        <v>1112</v>
      </c>
      <c r="G1431" s="72"/>
      <c r="H1431" s="49" t="s">
        <v>503</v>
      </c>
      <c r="I1431" s="49" t="s">
        <v>159</v>
      </c>
      <c r="J1431" s="76">
        <v>-418.18</v>
      </c>
      <c r="K1431" s="83" t="str">
        <f>IFERROR(IFERROR(VLOOKUP(I1431,'DE-PARA'!B:D,3,0),VLOOKUP(I1431,'DE-PARA'!C:D,2,0)),"NÃO ENCONTRADO")</f>
        <v>Materiais</v>
      </c>
      <c r="L1431" s="50" t="str">
        <f>VLOOKUP(K1431,'Base -Receita-Despesa'!$B:$P,1,FALSE)</f>
        <v>Materiais</v>
      </c>
    </row>
    <row r="1432" spans="1:12" ht="15" customHeight="1" x14ac:dyDescent="0.3">
      <c r="A1432" s="82" t="str">
        <f t="shared" si="44"/>
        <v>2016</v>
      </c>
      <c r="B1432" s="72" t="s">
        <v>131</v>
      </c>
      <c r="C1432" s="73" t="s">
        <v>132</v>
      </c>
      <c r="D1432" s="74" t="str">
        <f t="shared" si="45"/>
        <v>jun/2016</v>
      </c>
      <c r="E1432" s="53">
        <v>42534</v>
      </c>
      <c r="F1432" s="75" t="s">
        <v>1116</v>
      </c>
      <c r="G1432" s="72"/>
      <c r="H1432" s="49" t="s">
        <v>691</v>
      </c>
      <c r="I1432" s="49" t="s">
        <v>167</v>
      </c>
      <c r="J1432" s="76">
        <v>-543.02</v>
      </c>
      <c r="K1432" s="83" t="str">
        <f>IFERROR(IFERROR(VLOOKUP(I1432,'DE-PARA'!B:D,3,0),VLOOKUP(I1432,'DE-PARA'!C:D,2,0)),"NÃO ENCONTRADO")</f>
        <v>Materiais</v>
      </c>
      <c r="L1432" s="50" t="str">
        <f>VLOOKUP(K1432,'Base -Receita-Despesa'!$B:$P,1,FALSE)</f>
        <v>Materiais</v>
      </c>
    </row>
    <row r="1433" spans="1:12" ht="15" customHeight="1" x14ac:dyDescent="0.3">
      <c r="A1433" s="82" t="str">
        <f t="shared" si="44"/>
        <v>2016</v>
      </c>
      <c r="B1433" s="72" t="s">
        <v>131</v>
      </c>
      <c r="C1433" s="73" t="s">
        <v>132</v>
      </c>
      <c r="D1433" s="74" t="str">
        <f t="shared" si="45"/>
        <v>jun/2016</v>
      </c>
      <c r="E1433" s="53">
        <v>42534</v>
      </c>
      <c r="F1433" s="75" t="s">
        <v>1117</v>
      </c>
      <c r="G1433" s="72"/>
      <c r="H1433" s="49" t="s">
        <v>166</v>
      </c>
      <c r="I1433" s="49" t="s">
        <v>167</v>
      </c>
      <c r="J1433" s="76">
        <v>-577.69000000000005</v>
      </c>
      <c r="K1433" s="83" t="str">
        <f>IFERROR(IFERROR(VLOOKUP(I1433,'DE-PARA'!B:D,3,0),VLOOKUP(I1433,'DE-PARA'!C:D,2,0)),"NÃO ENCONTRADO")</f>
        <v>Materiais</v>
      </c>
      <c r="L1433" s="50" t="str">
        <f>VLOOKUP(K1433,'Base -Receita-Despesa'!$B:$P,1,FALSE)</f>
        <v>Materiais</v>
      </c>
    </row>
    <row r="1434" spans="1:12" ht="15" customHeight="1" x14ac:dyDescent="0.3">
      <c r="A1434" s="82" t="str">
        <f t="shared" si="44"/>
        <v>2016</v>
      </c>
      <c r="B1434" s="72" t="s">
        <v>131</v>
      </c>
      <c r="C1434" s="73" t="s">
        <v>132</v>
      </c>
      <c r="D1434" s="74" t="str">
        <f t="shared" si="45"/>
        <v>jun/2016</v>
      </c>
      <c r="E1434" s="53">
        <v>42534</v>
      </c>
      <c r="F1434" s="75" t="s">
        <v>1118</v>
      </c>
      <c r="G1434" s="72"/>
      <c r="H1434" s="49" t="s">
        <v>226</v>
      </c>
      <c r="I1434" s="49" t="s">
        <v>177</v>
      </c>
      <c r="J1434" s="76">
        <v>-4290.72</v>
      </c>
      <c r="K1434" s="83" t="str">
        <f>IFERROR(IFERROR(VLOOKUP(I1434,'DE-PARA'!B:D,3,0),VLOOKUP(I1434,'DE-PARA'!C:D,2,0)),"NÃO ENCONTRADO")</f>
        <v>Materiais</v>
      </c>
      <c r="L1434" s="50" t="str">
        <f>VLOOKUP(K1434,'Base -Receita-Despesa'!$B:$P,1,FALSE)</f>
        <v>Materiais</v>
      </c>
    </row>
    <row r="1435" spans="1:12" ht="15" customHeight="1" x14ac:dyDescent="0.3">
      <c r="A1435" s="82" t="str">
        <f t="shared" si="44"/>
        <v>2016</v>
      </c>
      <c r="B1435" s="72" t="s">
        <v>131</v>
      </c>
      <c r="C1435" s="73" t="s">
        <v>132</v>
      </c>
      <c r="D1435" s="74" t="str">
        <f t="shared" si="45"/>
        <v>jun/2016</v>
      </c>
      <c r="E1435" s="53">
        <v>42534</v>
      </c>
      <c r="F1435" s="75" t="s">
        <v>1119</v>
      </c>
      <c r="G1435" s="72"/>
      <c r="H1435" s="49" t="s">
        <v>213</v>
      </c>
      <c r="I1435" s="49" t="s">
        <v>159</v>
      </c>
      <c r="J1435" s="76">
        <v>-539.87</v>
      </c>
      <c r="K1435" s="83" t="str">
        <f>IFERROR(IFERROR(VLOOKUP(I1435,'DE-PARA'!B:D,3,0),VLOOKUP(I1435,'DE-PARA'!C:D,2,0)),"NÃO ENCONTRADO")</f>
        <v>Materiais</v>
      </c>
      <c r="L1435" s="50" t="str">
        <f>VLOOKUP(K1435,'Base -Receita-Despesa'!$B:$P,1,FALSE)</f>
        <v>Materiais</v>
      </c>
    </row>
    <row r="1436" spans="1:12" ht="15" customHeight="1" x14ac:dyDescent="0.3">
      <c r="A1436" s="82" t="str">
        <f t="shared" si="44"/>
        <v>2016</v>
      </c>
      <c r="B1436" s="72" t="s">
        <v>131</v>
      </c>
      <c r="C1436" s="73" t="s">
        <v>132</v>
      </c>
      <c r="D1436" s="74" t="str">
        <f t="shared" si="45"/>
        <v>jun/2016</v>
      </c>
      <c r="E1436" s="53">
        <v>42534</v>
      </c>
      <c r="F1436" s="75" t="s">
        <v>1120</v>
      </c>
      <c r="G1436" s="72"/>
      <c r="H1436" s="49" t="s">
        <v>215</v>
      </c>
      <c r="I1436" s="49" t="s">
        <v>317</v>
      </c>
      <c r="J1436" s="76">
        <v>-298</v>
      </c>
      <c r="K1436" s="83" t="str">
        <f>IFERROR(IFERROR(VLOOKUP(I1436,'DE-PARA'!B:D,3,0),VLOOKUP(I1436,'DE-PARA'!C:D,2,0)),"NÃO ENCONTRADO")</f>
        <v>Investimentos</v>
      </c>
      <c r="L1436" s="50" t="str">
        <f>VLOOKUP(K1436,'Base -Receita-Despesa'!$B:$P,1,FALSE)</f>
        <v>Investimentos</v>
      </c>
    </row>
    <row r="1437" spans="1:12" ht="15" customHeight="1" x14ac:dyDescent="0.3">
      <c r="A1437" s="82" t="str">
        <f t="shared" si="44"/>
        <v>2016</v>
      </c>
      <c r="B1437" s="72" t="s">
        <v>131</v>
      </c>
      <c r="C1437" s="73" t="s">
        <v>132</v>
      </c>
      <c r="D1437" s="74" t="str">
        <f t="shared" si="45"/>
        <v>jun/2016</v>
      </c>
      <c r="E1437" s="53">
        <v>42534</v>
      </c>
      <c r="F1437" s="75" t="s">
        <v>1121</v>
      </c>
      <c r="G1437" s="72"/>
      <c r="H1437" s="49" t="s">
        <v>215</v>
      </c>
      <c r="I1437" s="49" t="s">
        <v>317</v>
      </c>
      <c r="J1437" s="76">
        <v>-189</v>
      </c>
      <c r="K1437" s="83" t="str">
        <f>IFERROR(IFERROR(VLOOKUP(I1437,'DE-PARA'!B:D,3,0),VLOOKUP(I1437,'DE-PARA'!C:D,2,0)),"NÃO ENCONTRADO")</f>
        <v>Investimentos</v>
      </c>
      <c r="L1437" s="50" t="str">
        <f>VLOOKUP(K1437,'Base -Receita-Despesa'!$B:$P,1,FALSE)</f>
        <v>Investimentos</v>
      </c>
    </row>
    <row r="1438" spans="1:12" ht="15" customHeight="1" x14ac:dyDescent="0.3">
      <c r="A1438" s="82" t="str">
        <f t="shared" si="44"/>
        <v>2016</v>
      </c>
      <c r="B1438" s="72" t="s">
        <v>131</v>
      </c>
      <c r="C1438" s="73" t="s">
        <v>132</v>
      </c>
      <c r="D1438" s="74" t="str">
        <f t="shared" si="45"/>
        <v>jun/2016</v>
      </c>
      <c r="E1438" s="53">
        <v>42534</v>
      </c>
      <c r="F1438" s="75" t="s">
        <v>1122</v>
      </c>
      <c r="G1438" s="72"/>
      <c r="H1438" s="49" t="s">
        <v>215</v>
      </c>
      <c r="I1438" s="49" t="s">
        <v>167</v>
      </c>
      <c r="J1438" s="76">
        <v>-238.4</v>
      </c>
      <c r="K1438" s="83" t="str">
        <f>IFERROR(IFERROR(VLOOKUP(I1438,'DE-PARA'!B:D,3,0),VLOOKUP(I1438,'DE-PARA'!C:D,2,0)),"NÃO ENCONTRADO")</f>
        <v>Materiais</v>
      </c>
      <c r="L1438" s="50" t="str">
        <f>VLOOKUP(K1438,'Base -Receita-Despesa'!$B:$P,1,FALSE)</f>
        <v>Materiais</v>
      </c>
    </row>
    <row r="1439" spans="1:12" ht="15" customHeight="1" x14ac:dyDescent="0.3">
      <c r="A1439" s="82" t="str">
        <f t="shared" si="44"/>
        <v>2016</v>
      </c>
      <c r="B1439" s="72" t="s">
        <v>131</v>
      </c>
      <c r="C1439" s="73" t="s">
        <v>132</v>
      </c>
      <c r="D1439" s="74" t="str">
        <f t="shared" si="45"/>
        <v>jun/2016</v>
      </c>
      <c r="E1439" s="53">
        <v>42534</v>
      </c>
      <c r="F1439" s="75" t="s">
        <v>1123</v>
      </c>
      <c r="G1439" s="72"/>
      <c r="H1439" s="49" t="s">
        <v>170</v>
      </c>
      <c r="I1439" s="49" t="s">
        <v>171</v>
      </c>
      <c r="J1439" s="76">
        <v>-18564.88</v>
      </c>
      <c r="K1439" s="83" t="str">
        <f>IFERROR(IFERROR(VLOOKUP(I1439,'DE-PARA'!B:D,3,0),VLOOKUP(I1439,'DE-PARA'!C:D,2,0)),"NÃO ENCONTRADO")</f>
        <v>Serviços</v>
      </c>
      <c r="L1439" s="50" t="str">
        <f>VLOOKUP(K1439,'Base -Receita-Despesa'!$B:$P,1,FALSE)</f>
        <v>Serviços</v>
      </c>
    </row>
    <row r="1440" spans="1:12" ht="15" customHeight="1" x14ac:dyDescent="0.3">
      <c r="A1440" s="82" t="str">
        <f t="shared" si="44"/>
        <v>2016</v>
      </c>
      <c r="B1440" s="72" t="s">
        <v>131</v>
      </c>
      <c r="C1440" s="73" t="s">
        <v>132</v>
      </c>
      <c r="D1440" s="74" t="str">
        <f t="shared" si="45"/>
        <v>jun/2016</v>
      </c>
      <c r="E1440" s="53">
        <v>42534</v>
      </c>
      <c r="F1440" s="75" t="s">
        <v>1124</v>
      </c>
      <c r="G1440" s="72"/>
      <c r="H1440" s="49" t="s">
        <v>216</v>
      </c>
      <c r="I1440" s="49" t="s">
        <v>196</v>
      </c>
      <c r="J1440" s="76">
        <v>-174</v>
      </c>
      <c r="K1440" s="83" t="str">
        <f>IFERROR(IFERROR(VLOOKUP(I1440,'DE-PARA'!B:D,3,0),VLOOKUP(I1440,'DE-PARA'!C:D,2,0)),"NÃO ENCONTRADO")</f>
        <v>Materiais</v>
      </c>
      <c r="L1440" s="50" t="str">
        <f>VLOOKUP(K1440,'Base -Receita-Despesa'!$B:$P,1,FALSE)</f>
        <v>Materiais</v>
      </c>
    </row>
    <row r="1441" spans="1:12" ht="15" customHeight="1" x14ac:dyDescent="0.3">
      <c r="A1441" s="82" t="str">
        <f t="shared" si="44"/>
        <v>2016</v>
      </c>
      <c r="B1441" s="72" t="s">
        <v>131</v>
      </c>
      <c r="C1441" s="73" t="s">
        <v>132</v>
      </c>
      <c r="D1441" s="74" t="str">
        <f t="shared" si="45"/>
        <v>jun/2016</v>
      </c>
      <c r="E1441" s="53">
        <v>42534</v>
      </c>
      <c r="F1441" s="75" t="s">
        <v>1018</v>
      </c>
      <c r="G1441" s="72"/>
      <c r="H1441" s="49" t="s">
        <v>229</v>
      </c>
      <c r="I1441" s="49" t="s">
        <v>159</v>
      </c>
      <c r="J1441" s="76">
        <v>-959.5</v>
      </c>
      <c r="K1441" s="83" t="str">
        <f>IFERROR(IFERROR(VLOOKUP(I1441,'DE-PARA'!B:D,3,0),VLOOKUP(I1441,'DE-PARA'!C:D,2,0)),"NÃO ENCONTRADO")</f>
        <v>Materiais</v>
      </c>
      <c r="L1441" s="50" t="str">
        <f>VLOOKUP(K1441,'Base -Receita-Despesa'!$B:$P,1,FALSE)</f>
        <v>Materiais</v>
      </c>
    </row>
    <row r="1442" spans="1:12" ht="15" customHeight="1" x14ac:dyDescent="0.3">
      <c r="A1442" s="82" t="str">
        <f t="shared" si="44"/>
        <v>2016</v>
      </c>
      <c r="B1442" s="72" t="s">
        <v>131</v>
      </c>
      <c r="C1442" s="73" t="s">
        <v>132</v>
      </c>
      <c r="D1442" s="74" t="str">
        <f t="shared" si="45"/>
        <v>jun/2016</v>
      </c>
      <c r="E1442" s="53">
        <v>42534</v>
      </c>
      <c r="F1442" s="75" t="s">
        <v>1014</v>
      </c>
      <c r="G1442" s="72"/>
      <c r="H1442" s="49" t="s">
        <v>229</v>
      </c>
      <c r="I1442" s="49" t="s">
        <v>159</v>
      </c>
      <c r="J1442" s="76">
        <v>-1329.54</v>
      </c>
      <c r="K1442" s="83" t="str">
        <f>IFERROR(IFERROR(VLOOKUP(I1442,'DE-PARA'!B:D,3,0),VLOOKUP(I1442,'DE-PARA'!C:D,2,0)),"NÃO ENCONTRADO")</f>
        <v>Materiais</v>
      </c>
      <c r="L1442" s="50" t="str">
        <f>VLOOKUP(K1442,'Base -Receita-Despesa'!$B:$P,1,FALSE)</f>
        <v>Materiais</v>
      </c>
    </row>
    <row r="1443" spans="1:12" ht="15" customHeight="1" x14ac:dyDescent="0.3">
      <c r="A1443" s="82" t="str">
        <f t="shared" si="44"/>
        <v>2016</v>
      </c>
      <c r="B1443" s="72" t="s">
        <v>131</v>
      </c>
      <c r="C1443" s="73" t="s">
        <v>132</v>
      </c>
      <c r="D1443" s="74" t="str">
        <f t="shared" si="45"/>
        <v>jun/2016</v>
      </c>
      <c r="E1443" s="53">
        <v>42534</v>
      </c>
      <c r="F1443" s="75" t="s">
        <v>1127</v>
      </c>
      <c r="G1443" s="72"/>
      <c r="H1443" s="49" t="s">
        <v>229</v>
      </c>
      <c r="I1443" s="49" t="s">
        <v>159</v>
      </c>
      <c r="J1443" s="76">
        <v>-891</v>
      </c>
      <c r="K1443" s="83" t="str">
        <f>IFERROR(IFERROR(VLOOKUP(I1443,'DE-PARA'!B:D,3,0),VLOOKUP(I1443,'DE-PARA'!C:D,2,0)),"NÃO ENCONTRADO")</f>
        <v>Materiais</v>
      </c>
      <c r="L1443" s="50" t="str">
        <f>VLOOKUP(K1443,'Base -Receita-Despesa'!$B:$P,1,FALSE)</f>
        <v>Materiais</v>
      </c>
    </row>
    <row r="1444" spans="1:12" ht="15" customHeight="1" x14ac:dyDescent="0.3">
      <c r="A1444" s="82" t="str">
        <f t="shared" si="44"/>
        <v>2016</v>
      </c>
      <c r="B1444" s="72" t="s">
        <v>131</v>
      </c>
      <c r="C1444" s="73" t="s">
        <v>132</v>
      </c>
      <c r="D1444" s="74" t="str">
        <f t="shared" si="45"/>
        <v>jun/2016</v>
      </c>
      <c r="E1444" s="53">
        <v>42534</v>
      </c>
      <c r="F1444" s="75" t="s">
        <v>1015</v>
      </c>
      <c r="G1444" s="72"/>
      <c r="H1444" s="49" t="s">
        <v>229</v>
      </c>
      <c r="I1444" s="49" t="s">
        <v>159</v>
      </c>
      <c r="J1444" s="76">
        <v>-1233.08</v>
      </c>
      <c r="K1444" s="83" t="str">
        <f>IFERROR(IFERROR(VLOOKUP(I1444,'DE-PARA'!B:D,3,0),VLOOKUP(I1444,'DE-PARA'!C:D,2,0)),"NÃO ENCONTRADO")</f>
        <v>Materiais</v>
      </c>
      <c r="L1444" s="50" t="str">
        <f>VLOOKUP(K1444,'Base -Receita-Despesa'!$B:$P,1,FALSE)</f>
        <v>Materiais</v>
      </c>
    </row>
    <row r="1445" spans="1:12" ht="15" customHeight="1" x14ac:dyDescent="0.3">
      <c r="A1445" s="82" t="str">
        <f t="shared" si="44"/>
        <v>2016</v>
      </c>
      <c r="B1445" s="72" t="s">
        <v>131</v>
      </c>
      <c r="C1445" s="73" t="s">
        <v>132</v>
      </c>
      <c r="D1445" s="74" t="str">
        <f t="shared" si="45"/>
        <v>jun/2016</v>
      </c>
      <c r="E1445" s="53">
        <v>42534</v>
      </c>
      <c r="F1445" s="75" t="s">
        <v>1015</v>
      </c>
      <c r="G1445" s="72"/>
      <c r="H1445" s="49" t="s">
        <v>229</v>
      </c>
      <c r="I1445" s="49" t="s">
        <v>159</v>
      </c>
      <c r="J1445" s="76">
        <v>-1233.07</v>
      </c>
      <c r="K1445" s="83" t="str">
        <f>IFERROR(IFERROR(VLOOKUP(I1445,'DE-PARA'!B:D,3,0),VLOOKUP(I1445,'DE-PARA'!C:D,2,0)),"NÃO ENCONTRADO")</f>
        <v>Materiais</v>
      </c>
      <c r="L1445" s="50" t="str">
        <f>VLOOKUP(K1445,'Base -Receita-Despesa'!$B:$P,1,FALSE)</f>
        <v>Materiais</v>
      </c>
    </row>
    <row r="1446" spans="1:12" ht="15" customHeight="1" x14ac:dyDescent="0.3">
      <c r="A1446" s="82" t="str">
        <f t="shared" si="44"/>
        <v>2016</v>
      </c>
      <c r="B1446" s="72" t="s">
        <v>131</v>
      </c>
      <c r="C1446" s="73" t="s">
        <v>132</v>
      </c>
      <c r="D1446" s="74" t="str">
        <f t="shared" si="45"/>
        <v>jun/2016</v>
      </c>
      <c r="E1446" s="53">
        <v>42534</v>
      </c>
      <c r="F1446" s="75" t="s">
        <v>1128</v>
      </c>
      <c r="G1446" s="72"/>
      <c r="H1446" s="49" t="s">
        <v>229</v>
      </c>
      <c r="I1446" s="49" t="s">
        <v>159</v>
      </c>
      <c r="J1446" s="76">
        <v>-205</v>
      </c>
      <c r="K1446" s="83" t="str">
        <f>IFERROR(IFERROR(VLOOKUP(I1446,'DE-PARA'!B:D,3,0),VLOOKUP(I1446,'DE-PARA'!C:D,2,0)),"NÃO ENCONTRADO")</f>
        <v>Materiais</v>
      </c>
      <c r="L1446" s="50" t="str">
        <f>VLOOKUP(K1446,'Base -Receita-Despesa'!$B:$P,1,FALSE)</f>
        <v>Materiais</v>
      </c>
    </row>
    <row r="1447" spans="1:12" ht="15" customHeight="1" x14ac:dyDescent="0.3">
      <c r="A1447" s="82" t="str">
        <f t="shared" si="44"/>
        <v>2016</v>
      </c>
      <c r="B1447" s="72" t="s">
        <v>131</v>
      </c>
      <c r="C1447" s="73" t="s">
        <v>132</v>
      </c>
      <c r="D1447" s="74" t="str">
        <f t="shared" si="45"/>
        <v>jun/2016</v>
      </c>
      <c r="E1447" s="53">
        <v>42534</v>
      </c>
      <c r="F1447" s="75" t="s">
        <v>1129</v>
      </c>
      <c r="G1447" s="72"/>
      <c r="H1447" s="49" t="s">
        <v>217</v>
      </c>
      <c r="I1447" s="49" t="s">
        <v>196</v>
      </c>
      <c r="J1447" s="76">
        <v>-304</v>
      </c>
      <c r="K1447" s="83" t="str">
        <f>IFERROR(IFERROR(VLOOKUP(I1447,'DE-PARA'!B:D,3,0),VLOOKUP(I1447,'DE-PARA'!C:D,2,0)),"NÃO ENCONTRADO")</f>
        <v>Materiais</v>
      </c>
      <c r="L1447" s="50" t="str">
        <f>VLOOKUP(K1447,'Base -Receita-Despesa'!$B:$P,1,FALSE)</f>
        <v>Materiais</v>
      </c>
    </row>
    <row r="1448" spans="1:12" ht="15" customHeight="1" x14ac:dyDescent="0.3">
      <c r="A1448" s="82" t="str">
        <f t="shared" si="44"/>
        <v>2016</v>
      </c>
      <c r="B1448" s="72" t="s">
        <v>131</v>
      </c>
      <c r="C1448" s="73" t="s">
        <v>132</v>
      </c>
      <c r="D1448" s="74" t="str">
        <f t="shared" si="45"/>
        <v>jun/2016</v>
      </c>
      <c r="E1448" s="53">
        <v>42534</v>
      </c>
      <c r="F1448" s="75" t="s">
        <v>1126</v>
      </c>
      <c r="G1448" s="72"/>
      <c r="H1448" s="49" t="s">
        <v>187</v>
      </c>
      <c r="I1448" s="49" t="s">
        <v>159</v>
      </c>
      <c r="J1448" s="76">
        <v>-1261.5999999999999</v>
      </c>
      <c r="K1448" s="83" t="str">
        <f>IFERROR(IFERROR(VLOOKUP(I1448,'DE-PARA'!B:D,3,0),VLOOKUP(I1448,'DE-PARA'!C:D,2,0)),"NÃO ENCONTRADO")</f>
        <v>Materiais</v>
      </c>
      <c r="L1448" s="50" t="str">
        <f>VLOOKUP(K1448,'Base -Receita-Despesa'!$B:$P,1,FALSE)</f>
        <v>Materiais</v>
      </c>
    </row>
    <row r="1449" spans="1:12" ht="15" customHeight="1" x14ac:dyDescent="0.3">
      <c r="A1449" s="82" t="str">
        <f t="shared" si="44"/>
        <v>2016</v>
      </c>
      <c r="B1449" s="72" t="s">
        <v>131</v>
      </c>
      <c r="C1449" s="73" t="s">
        <v>132</v>
      </c>
      <c r="D1449" s="74" t="str">
        <f t="shared" si="45"/>
        <v>jun/2016</v>
      </c>
      <c r="E1449" s="53">
        <v>42535</v>
      </c>
      <c r="F1449" s="75" t="s">
        <v>594</v>
      </c>
      <c r="G1449" s="72"/>
      <c r="H1449" s="49" t="s">
        <v>594</v>
      </c>
      <c r="I1449" s="49" t="s">
        <v>1048</v>
      </c>
      <c r="J1449" s="76">
        <v>-240000</v>
      </c>
      <c r="K1449" s="83" t="str">
        <f>IFERROR(IFERROR(VLOOKUP(I1449,'DE-PARA'!B:D,3,0),VLOOKUP(I1449,'DE-PARA'!C:D,2,0)),"NÃO ENCONTRADO")</f>
        <v>Saídas Da C/A Por Regates (-)</v>
      </c>
      <c r="L1449" s="50" t="str">
        <f>VLOOKUP(K1449,'Base -Receita-Despesa'!$B:$P,1,FALSE)</f>
        <v>SAÍDAS DA C/A POR REGATES (-)</v>
      </c>
    </row>
    <row r="1450" spans="1:12" ht="15" customHeight="1" x14ac:dyDescent="0.3">
      <c r="A1450" s="82" t="str">
        <f t="shared" si="44"/>
        <v>2016</v>
      </c>
      <c r="B1450" s="72" t="s">
        <v>131</v>
      </c>
      <c r="C1450" s="73" t="s">
        <v>132</v>
      </c>
      <c r="D1450" s="74" t="str">
        <f t="shared" si="45"/>
        <v>jun/2016</v>
      </c>
      <c r="E1450" s="53">
        <v>42535</v>
      </c>
      <c r="F1450" s="75" t="s">
        <v>243</v>
      </c>
      <c r="G1450" s="72"/>
      <c r="H1450" s="49" t="s">
        <v>1130</v>
      </c>
      <c r="I1450" s="49" t="s">
        <v>124</v>
      </c>
      <c r="J1450" s="76">
        <v>-482.36</v>
      </c>
      <c r="K1450" s="83" t="str">
        <f>IFERROR(IFERROR(VLOOKUP(I1450,'DE-PARA'!B:D,3,0),VLOOKUP(I1450,'DE-PARA'!C:D,2,0)),"NÃO ENCONTRADO")</f>
        <v>Rescisões Trabalhistas</v>
      </c>
      <c r="L1450" s="50" t="str">
        <f>VLOOKUP(K1450,'Base -Receita-Despesa'!$B:$P,1,FALSE)</f>
        <v>Rescisões Trabalhistas</v>
      </c>
    </row>
    <row r="1451" spans="1:12" ht="15" customHeight="1" x14ac:dyDescent="0.3">
      <c r="A1451" s="82" t="str">
        <f t="shared" si="44"/>
        <v>2016</v>
      </c>
      <c r="B1451" s="72" t="s">
        <v>131</v>
      </c>
      <c r="C1451" s="73" t="s">
        <v>132</v>
      </c>
      <c r="D1451" s="74" t="str">
        <f t="shared" si="45"/>
        <v>jun/2016</v>
      </c>
      <c r="E1451" s="53">
        <v>42535</v>
      </c>
      <c r="F1451" s="75" t="s">
        <v>840</v>
      </c>
      <c r="G1451" s="72"/>
      <c r="H1451" s="49" t="s">
        <v>251</v>
      </c>
      <c r="I1451" s="49" t="s">
        <v>129</v>
      </c>
      <c r="J1451" s="76">
        <v>-14.76</v>
      </c>
      <c r="K1451" s="83" t="str">
        <f>IFERROR(IFERROR(VLOOKUP(I1451,'DE-PARA'!B:D,3,0),VLOOKUP(I1451,'DE-PARA'!C:D,2,0)),"NÃO ENCONTRADO")</f>
        <v>Outras Saídas</v>
      </c>
      <c r="L1451" s="50" t="str">
        <f>VLOOKUP(K1451,'Base -Receita-Despesa'!$B:$P,1,FALSE)</f>
        <v>Outras Saídas</v>
      </c>
    </row>
    <row r="1452" spans="1:12" ht="15" customHeight="1" x14ac:dyDescent="0.3">
      <c r="A1452" s="82" t="str">
        <f t="shared" si="44"/>
        <v>2016</v>
      </c>
      <c r="B1452" s="72" t="s">
        <v>131</v>
      </c>
      <c r="C1452" s="73" t="s">
        <v>132</v>
      </c>
      <c r="D1452" s="74" t="str">
        <f t="shared" si="45"/>
        <v>jun/2016</v>
      </c>
      <c r="E1452" s="53">
        <v>42535</v>
      </c>
      <c r="F1452" s="75" t="s">
        <v>840</v>
      </c>
      <c r="G1452" s="72"/>
      <c r="H1452" s="49" t="s">
        <v>863</v>
      </c>
      <c r="I1452" s="49" t="s">
        <v>129</v>
      </c>
      <c r="J1452" s="76">
        <v>-7.85</v>
      </c>
      <c r="K1452" s="83" t="str">
        <f>IFERROR(IFERROR(VLOOKUP(I1452,'DE-PARA'!B:D,3,0),VLOOKUP(I1452,'DE-PARA'!C:D,2,0)),"NÃO ENCONTRADO")</f>
        <v>Outras Saídas</v>
      </c>
      <c r="L1452" s="50" t="str">
        <f>VLOOKUP(K1452,'Base -Receita-Despesa'!$B:$P,1,FALSE)</f>
        <v>Outras Saídas</v>
      </c>
    </row>
    <row r="1453" spans="1:12" ht="15" customHeight="1" x14ac:dyDescent="0.3">
      <c r="A1453" s="82" t="str">
        <f t="shared" si="44"/>
        <v>2016</v>
      </c>
      <c r="B1453" s="72" t="s">
        <v>131</v>
      </c>
      <c r="C1453" s="73" t="s">
        <v>132</v>
      </c>
      <c r="D1453" s="74" t="str">
        <f t="shared" si="45"/>
        <v>jun/2016</v>
      </c>
      <c r="E1453" s="53">
        <v>42535</v>
      </c>
      <c r="F1453" s="75" t="s">
        <v>840</v>
      </c>
      <c r="G1453" s="72"/>
      <c r="H1453" s="49" t="s">
        <v>863</v>
      </c>
      <c r="I1453" s="49" t="s">
        <v>129</v>
      </c>
      <c r="J1453" s="76">
        <v>-7.85</v>
      </c>
      <c r="K1453" s="83" t="str">
        <f>IFERROR(IFERROR(VLOOKUP(I1453,'DE-PARA'!B:D,3,0),VLOOKUP(I1453,'DE-PARA'!C:D,2,0)),"NÃO ENCONTRADO")</f>
        <v>Outras Saídas</v>
      </c>
      <c r="L1453" s="50" t="str">
        <f>VLOOKUP(K1453,'Base -Receita-Despesa'!$B:$P,1,FALSE)</f>
        <v>Outras Saídas</v>
      </c>
    </row>
    <row r="1454" spans="1:12" ht="15" customHeight="1" x14ac:dyDescent="0.3">
      <c r="A1454" s="82" t="str">
        <f t="shared" si="44"/>
        <v>2016</v>
      </c>
      <c r="B1454" s="72" t="s">
        <v>131</v>
      </c>
      <c r="C1454" s="73" t="s">
        <v>132</v>
      </c>
      <c r="D1454" s="74" t="str">
        <f t="shared" si="45"/>
        <v>jun/2016</v>
      </c>
      <c r="E1454" s="53">
        <v>42535</v>
      </c>
      <c r="F1454" s="75" t="s">
        <v>840</v>
      </c>
      <c r="G1454" s="72"/>
      <c r="H1454" s="49" t="s">
        <v>863</v>
      </c>
      <c r="I1454" s="49" t="s">
        <v>129</v>
      </c>
      <c r="J1454" s="76">
        <v>-7.85</v>
      </c>
      <c r="K1454" s="83" t="str">
        <f>IFERROR(IFERROR(VLOOKUP(I1454,'DE-PARA'!B:D,3,0),VLOOKUP(I1454,'DE-PARA'!C:D,2,0)),"NÃO ENCONTRADO")</f>
        <v>Outras Saídas</v>
      </c>
      <c r="L1454" s="50" t="str">
        <f>VLOOKUP(K1454,'Base -Receita-Despesa'!$B:$P,1,FALSE)</f>
        <v>Outras Saídas</v>
      </c>
    </row>
    <row r="1455" spans="1:12" ht="15" customHeight="1" x14ac:dyDescent="0.3">
      <c r="A1455" s="82" t="str">
        <f t="shared" si="44"/>
        <v>2016</v>
      </c>
      <c r="B1455" s="72" t="s">
        <v>131</v>
      </c>
      <c r="C1455" s="73" t="s">
        <v>132</v>
      </c>
      <c r="D1455" s="74" t="str">
        <f t="shared" si="45"/>
        <v>jun/2016</v>
      </c>
      <c r="E1455" s="53">
        <v>42535</v>
      </c>
      <c r="F1455" s="75" t="s">
        <v>1098</v>
      </c>
      <c r="G1455" s="72"/>
      <c r="H1455" s="49" t="s">
        <v>220</v>
      </c>
      <c r="I1455" s="49" t="s">
        <v>180</v>
      </c>
      <c r="J1455" s="76">
        <v>-20000</v>
      </c>
      <c r="K1455" s="83" t="str">
        <f>IFERROR(IFERROR(VLOOKUP(I1455,'DE-PARA'!B:D,3,0),VLOOKUP(I1455,'DE-PARA'!C:D,2,0)),"NÃO ENCONTRADO")</f>
        <v>Serviços</v>
      </c>
      <c r="L1455" s="50" t="str">
        <f>VLOOKUP(K1455,'Base -Receita-Despesa'!$B:$P,1,FALSE)</f>
        <v>Serviços</v>
      </c>
    </row>
    <row r="1456" spans="1:12" ht="15" customHeight="1" x14ac:dyDescent="0.3">
      <c r="A1456" s="82" t="str">
        <f t="shared" si="44"/>
        <v>2016</v>
      </c>
      <c r="B1456" s="72" t="s">
        <v>131</v>
      </c>
      <c r="C1456" s="73" t="s">
        <v>132</v>
      </c>
      <c r="D1456" s="74" t="str">
        <f t="shared" si="45"/>
        <v>jun/2016</v>
      </c>
      <c r="E1456" s="53">
        <v>42535</v>
      </c>
      <c r="F1456" s="75" t="s">
        <v>1131</v>
      </c>
      <c r="G1456" s="72"/>
      <c r="H1456" s="49" t="s">
        <v>178</v>
      </c>
      <c r="I1456" s="49" t="s">
        <v>110</v>
      </c>
      <c r="J1456" s="76">
        <v>-2702.88</v>
      </c>
      <c r="K1456" s="83" t="str">
        <f>IFERROR(IFERROR(VLOOKUP(I1456,'DE-PARA'!B:D,3,0),VLOOKUP(I1456,'DE-PARA'!C:D,2,0)),"NÃO ENCONTRADO")</f>
        <v>Serviços</v>
      </c>
      <c r="L1456" s="50" t="str">
        <f>VLOOKUP(K1456,'Base -Receita-Despesa'!$B:$P,1,FALSE)</f>
        <v>Serviços</v>
      </c>
    </row>
    <row r="1457" spans="1:12" ht="15" customHeight="1" x14ac:dyDescent="0.3">
      <c r="A1457" s="82" t="str">
        <f t="shared" si="44"/>
        <v>2016</v>
      </c>
      <c r="B1457" s="72" t="s">
        <v>131</v>
      </c>
      <c r="C1457" s="73" t="s">
        <v>132</v>
      </c>
      <c r="D1457" s="74" t="str">
        <f t="shared" si="45"/>
        <v>jun/2016</v>
      </c>
      <c r="E1457" s="53">
        <v>42535</v>
      </c>
      <c r="F1457" s="75" t="s">
        <v>923</v>
      </c>
      <c r="G1457" s="72"/>
      <c r="H1457" s="49" t="s">
        <v>203</v>
      </c>
      <c r="I1457" s="49" t="s">
        <v>204</v>
      </c>
      <c r="J1457" s="76">
        <v>-7000</v>
      </c>
      <c r="K1457" s="83" t="str">
        <f>IFERROR(IFERROR(VLOOKUP(I1457,'DE-PARA'!B:D,3,0),VLOOKUP(I1457,'DE-PARA'!C:D,2,0)),"NÃO ENCONTRADO")</f>
        <v>Serviços</v>
      </c>
      <c r="L1457" s="50" t="str">
        <f>VLOOKUP(K1457,'Base -Receita-Despesa'!$B:$P,1,FALSE)</f>
        <v>Serviços</v>
      </c>
    </row>
    <row r="1458" spans="1:12" ht="15" customHeight="1" x14ac:dyDescent="0.3">
      <c r="A1458" s="82" t="str">
        <f t="shared" si="44"/>
        <v>2016</v>
      </c>
      <c r="B1458" s="72" t="s">
        <v>131</v>
      </c>
      <c r="C1458" s="73" t="s">
        <v>132</v>
      </c>
      <c r="D1458" s="74" t="str">
        <f t="shared" si="45"/>
        <v>jun/2016</v>
      </c>
      <c r="E1458" s="53">
        <v>42536</v>
      </c>
      <c r="F1458" s="75" t="s">
        <v>1132</v>
      </c>
      <c r="G1458" s="72"/>
      <c r="H1458" s="49" t="s">
        <v>271</v>
      </c>
      <c r="I1458" s="49" t="s">
        <v>138</v>
      </c>
      <c r="J1458" s="76">
        <v>-2450</v>
      </c>
      <c r="K1458" s="83" t="str">
        <f>IFERROR(IFERROR(VLOOKUP(I1458,'DE-PARA'!B:D,3,0),VLOOKUP(I1458,'DE-PARA'!C:D,2,0)),"NÃO ENCONTRADO")</f>
        <v>Serviços</v>
      </c>
      <c r="L1458" s="50" t="str">
        <f>VLOOKUP(K1458,'Base -Receita-Despesa'!$B:$P,1,FALSE)</f>
        <v>Serviços</v>
      </c>
    </row>
    <row r="1459" spans="1:12" ht="15" customHeight="1" x14ac:dyDescent="0.3">
      <c r="A1459" s="82" t="str">
        <f t="shared" si="44"/>
        <v>2016</v>
      </c>
      <c r="B1459" s="72" t="s">
        <v>131</v>
      </c>
      <c r="C1459" s="73" t="s">
        <v>132</v>
      </c>
      <c r="D1459" s="74" t="str">
        <f t="shared" si="45"/>
        <v>jun/2016</v>
      </c>
      <c r="E1459" s="53">
        <v>42536</v>
      </c>
      <c r="F1459" s="75" t="s">
        <v>1133</v>
      </c>
      <c r="G1459" s="72"/>
      <c r="H1459" s="49" t="s">
        <v>176</v>
      </c>
      <c r="I1459" s="49" t="s">
        <v>177</v>
      </c>
      <c r="J1459" s="76">
        <v>-2913.71</v>
      </c>
      <c r="K1459" s="83" t="str">
        <f>IFERROR(IFERROR(VLOOKUP(I1459,'DE-PARA'!B:D,3,0),VLOOKUP(I1459,'DE-PARA'!C:D,2,0)),"NÃO ENCONTRADO")</f>
        <v>Materiais</v>
      </c>
      <c r="L1459" s="50" t="str">
        <f>VLOOKUP(K1459,'Base -Receita-Despesa'!$B:$P,1,FALSE)</f>
        <v>Materiais</v>
      </c>
    </row>
    <row r="1460" spans="1:12" ht="15" customHeight="1" x14ac:dyDescent="0.3">
      <c r="A1460" s="82" t="str">
        <f t="shared" si="44"/>
        <v>2016</v>
      </c>
      <c r="B1460" s="72" t="s">
        <v>131</v>
      </c>
      <c r="C1460" s="73" t="s">
        <v>132</v>
      </c>
      <c r="D1460" s="74" t="str">
        <f t="shared" si="45"/>
        <v>jun/2016</v>
      </c>
      <c r="E1460" s="53">
        <v>42536</v>
      </c>
      <c r="F1460" s="75" t="s">
        <v>259</v>
      </c>
      <c r="G1460" s="72"/>
      <c r="H1460" s="49" t="s">
        <v>1083</v>
      </c>
      <c r="I1460" s="49" t="s">
        <v>168</v>
      </c>
      <c r="J1460" s="76">
        <v>-122.64</v>
      </c>
      <c r="K1460" s="83" t="str">
        <f>IFERROR(IFERROR(VLOOKUP(I1460,'DE-PARA'!B:D,3,0),VLOOKUP(I1460,'DE-PARA'!C:D,2,0)),"NÃO ENCONTRADO")</f>
        <v>Pessoal</v>
      </c>
      <c r="L1460" s="50" t="str">
        <f>VLOOKUP(K1460,'Base -Receita-Despesa'!$B:$P,1,FALSE)</f>
        <v>Pessoal</v>
      </c>
    </row>
    <row r="1461" spans="1:12" ht="15" customHeight="1" x14ac:dyDescent="0.3">
      <c r="A1461" s="82" t="str">
        <f t="shared" si="44"/>
        <v>2016</v>
      </c>
      <c r="B1461" s="72" t="s">
        <v>131</v>
      </c>
      <c r="C1461" s="73" t="s">
        <v>132</v>
      </c>
      <c r="D1461" s="74" t="str">
        <f t="shared" si="45"/>
        <v>jun/2016</v>
      </c>
      <c r="E1461" s="53">
        <v>42536</v>
      </c>
      <c r="F1461" s="75" t="s">
        <v>259</v>
      </c>
      <c r="G1461" s="72"/>
      <c r="H1461" s="49" t="s">
        <v>397</v>
      </c>
      <c r="I1461" s="49" t="s">
        <v>168</v>
      </c>
      <c r="J1461" s="76">
        <v>-236.64</v>
      </c>
      <c r="K1461" s="83" t="str">
        <f>IFERROR(IFERROR(VLOOKUP(I1461,'DE-PARA'!B:D,3,0),VLOOKUP(I1461,'DE-PARA'!C:D,2,0)),"NÃO ENCONTRADO")</f>
        <v>Pessoal</v>
      </c>
      <c r="L1461" s="50" t="str">
        <f>VLOOKUP(K1461,'Base -Receita-Despesa'!$B:$P,1,FALSE)</f>
        <v>Pessoal</v>
      </c>
    </row>
    <row r="1462" spans="1:12" ht="15" customHeight="1" x14ac:dyDescent="0.3">
      <c r="A1462" s="82" t="str">
        <f t="shared" si="44"/>
        <v>2016</v>
      </c>
      <c r="B1462" s="72" t="s">
        <v>131</v>
      </c>
      <c r="C1462" s="73" t="s">
        <v>132</v>
      </c>
      <c r="D1462" s="74" t="str">
        <f t="shared" si="45"/>
        <v>jun/2016</v>
      </c>
      <c r="E1462" s="53">
        <v>42536</v>
      </c>
      <c r="F1462" s="75" t="s">
        <v>840</v>
      </c>
      <c r="G1462" s="72"/>
      <c r="H1462" s="49" t="s">
        <v>863</v>
      </c>
      <c r="I1462" s="49" t="s">
        <v>129</v>
      </c>
      <c r="J1462" s="76">
        <v>-7.85</v>
      </c>
      <c r="K1462" s="83" t="str">
        <f>IFERROR(IFERROR(VLOOKUP(I1462,'DE-PARA'!B:D,3,0),VLOOKUP(I1462,'DE-PARA'!C:D,2,0)),"NÃO ENCONTRADO")</f>
        <v>Outras Saídas</v>
      </c>
      <c r="L1462" s="50" t="str">
        <f>VLOOKUP(K1462,'Base -Receita-Despesa'!$B:$P,1,FALSE)</f>
        <v>Outras Saídas</v>
      </c>
    </row>
    <row r="1463" spans="1:12" ht="15" customHeight="1" x14ac:dyDescent="0.3">
      <c r="A1463" s="82" t="str">
        <f t="shared" si="44"/>
        <v>2016</v>
      </c>
      <c r="B1463" s="72" t="s">
        <v>131</v>
      </c>
      <c r="C1463" s="73" t="s">
        <v>132</v>
      </c>
      <c r="D1463" s="74" t="str">
        <f t="shared" si="45"/>
        <v>jun/2016</v>
      </c>
      <c r="E1463" s="53">
        <v>42536</v>
      </c>
      <c r="F1463" s="75" t="s">
        <v>840</v>
      </c>
      <c r="G1463" s="72"/>
      <c r="H1463" s="49" t="s">
        <v>863</v>
      </c>
      <c r="I1463" s="49" t="s">
        <v>129</v>
      </c>
      <c r="J1463" s="76">
        <v>-7.85</v>
      </c>
      <c r="K1463" s="83" t="str">
        <f>IFERROR(IFERROR(VLOOKUP(I1463,'DE-PARA'!B:D,3,0),VLOOKUP(I1463,'DE-PARA'!C:D,2,0)),"NÃO ENCONTRADO")</f>
        <v>Outras Saídas</v>
      </c>
      <c r="L1463" s="50" t="str">
        <f>VLOOKUP(K1463,'Base -Receita-Despesa'!$B:$P,1,FALSE)</f>
        <v>Outras Saídas</v>
      </c>
    </row>
    <row r="1464" spans="1:12" ht="15" customHeight="1" x14ac:dyDescent="0.3">
      <c r="A1464" s="82" t="str">
        <f t="shared" si="44"/>
        <v>2016</v>
      </c>
      <c r="B1464" s="72" t="s">
        <v>131</v>
      </c>
      <c r="C1464" s="73" t="s">
        <v>132</v>
      </c>
      <c r="D1464" s="74" t="str">
        <f t="shared" si="45"/>
        <v>jun/2016</v>
      </c>
      <c r="E1464" s="53">
        <v>42536</v>
      </c>
      <c r="F1464" s="75" t="s">
        <v>840</v>
      </c>
      <c r="G1464" s="72"/>
      <c r="H1464" s="49" t="s">
        <v>863</v>
      </c>
      <c r="I1464" s="49" t="s">
        <v>129</v>
      </c>
      <c r="J1464" s="76">
        <v>-7.85</v>
      </c>
      <c r="K1464" s="83" t="str">
        <f>IFERROR(IFERROR(VLOOKUP(I1464,'DE-PARA'!B:D,3,0),VLOOKUP(I1464,'DE-PARA'!C:D,2,0)),"NÃO ENCONTRADO")</f>
        <v>Outras Saídas</v>
      </c>
      <c r="L1464" s="50" t="str">
        <f>VLOOKUP(K1464,'Base -Receita-Despesa'!$B:$P,1,FALSE)</f>
        <v>Outras Saídas</v>
      </c>
    </row>
    <row r="1465" spans="1:12" ht="15" customHeight="1" x14ac:dyDescent="0.3">
      <c r="A1465" s="82" t="str">
        <f t="shared" si="44"/>
        <v>2016</v>
      </c>
      <c r="B1465" s="72" t="s">
        <v>131</v>
      </c>
      <c r="C1465" s="73" t="s">
        <v>132</v>
      </c>
      <c r="D1465" s="74" t="str">
        <f t="shared" si="45"/>
        <v>jun/2016</v>
      </c>
      <c r="E1465" s="53">
        <v>42536</v>
      </c>
      <c r="F1465" s="75" t="s">
        <v>840</v>
      </c>
      <c r="G1465" s="72"/>
      <c r="H1465" s="49" t="s">
        <v>863</v>
      </c>
      <c r="I1465" s="49" t="s">
        <v>129</v>
      </c>
      <c r="J1465" s="76">
        <v>-7.85</v>
      </c>
      <c r="K1465" s="83" t="str">
        <f>IFERROR(IFERROR(VLOOKUP(I1465,'DE-PARA'!B:D,3,0),VLOOKUP(I1465,'DE-PARA'!C:D,2,0)),"NÃO ENCONTRADO")</f>
        <v>Outras Saídas</v>
      </c>
      <c r="L1465" s="50" t="str">
        <f>VLOOKUP(K1465,'Base -Receita-Despesa'!$B:$P,1,FALSE)</f>
        <v>Outras Saídas</v>
      </c>
    </row>
    <row r="1466" spans="1:12" ht="15" customHeight="1" x14ac:dyDescent="0.3">
      <c r="A1466" s="82" t="str">
        <f t="shared" si="44"/>
        <v>2016</v>
      </c>
      <c r="B1466" s="72" t="s">
        <v>131</v>
      </c>
      <c r="C1466" s="73" t="s">
        <v>132</v>
      </c>
      <c r="D1466" s="74" t="str">
        <f t="shared" si="45"/>
        <v>jun/2016</v>
      </c>
      <c r="E1466" s="53">
        <v>42536</v>
      </c>
      <c r="F1466" s="75" t="s">
        <v>840</v>
      </c>
      <c r="G1466" s="72"/>
      <c r="H1466" s="49" t="s">
        <v>863</v>
      </c>
      <c r="I1466" s="49" t="s">
        <v>129</v>
      </c>
      <c r="J1466" s="76">
        <v>-7.85</v>
      </c>
      <c r="K1466" s="83" t="str">
        <f>IFERROR(IFERROR(VLOOKUP(I1466,'DE-PARA'!B:D,3,0),VLOOKUP(I1466,'DE-PARA'!C:D,2,0)),"NÃO ENCONTRADO")</f>
        <v>Outras Saídas</v>
      </c>
      <c r="L1466" s="50" t="str">
        <f>VLOOKUP(K1466,'Base -Receita-Despesa'!$B:$P,1,FALSE)</f>
        <v>Outras Saídas</v>
      </c>
    </row>
    <row r="1467" spans="1:12" ht="15" customHeight="1" x14ac:dyDescent="0.3">
      <c r="A1467" s="82" t="str">
        <f t="shared" si="44"/>
        <v>2016</v>
      </c>
      <c r="B1467" s="72" t="s">
        <v>131</v>
      </c>
      <c r="C1467" s="73" t="s">
        <v>132</v>
      </c>
      <c r="D1467" s="74" t="str">
        <f t="shared" si="45"/>
        <v>jun/2016</v>
      </c>
      <c r="E1467" s="53">
        <v>42536</v>
      </c>
      <c r="F1467" s="75" t="s">
        <v>840</v>
      </c>
      <c r="G1467" s="72"/>
      <c r="H1467" s="49" t="s">
        <v>863</v>
      </c>
      <c r="I1467" s="49" t="s">
        <v>129</v>
      </c>
      <c r="J1467" s="76">
        <v>-7.85</v>
      </c>
      <c r="K1467" s="83" t="str">
        <f>IFERROR(IFERROR(VLOOKUP(I1467,'DE-PARA'!B:D,3,0),VLOOKUP(I1467,'DE-PARA'!C:D,2,0)),"NÃO ENCONTRADO")</f>
        <v>Outras Saídas</v>
      </c>
      <c r="L1467" s="50" t="str">
        <f>VLOOKUP(K1467,'Base -Receita-Despesa'!$B:$P,1,FALSE)</f>
        <v>Outras Saídas</v>
      </c>
    </row>
    <row r="1468" spans="1:12" ht="15" customHeight="1" x14ac:dyDescent="0.3">
      <c r="A1468" s="82" t="str">
        <f t="shared" si="44"/>
        <v>2016</v>
      </c>
      <c r="B1468" s="72" t="s">
        <v>131</v>
      </c>
      <c r="C1468" s="73" t="s">
        <v>132</v>
      </c>
      <c r="D1468" s="74" t="str">
        <f t="shared" si="45"/>
        <v>jun/2016</v>
      </c>
      <c r="E1468" s="53">
        <v>42536</v>
      </c>
      <c r="F1468" s="75" t="s">
        <v>840</v>
      </c>
      <c r="G1468" s="72"/>
      <c r="H1468" s="49" t="s">
        <v>863</v>
      </c>
      <c r="I1468" s="49" t="s">
        <v>129</v>
      </c>
      <c r="J1468" s="76">
        <v>-7.85</v>
      </c>
      <c r="K1468" s="83" t="str">
        <f>IFERROR(IFERROR(VLOOKUP(I1468,'DE-PARA'!B:D,3,0),VLOOKUP(I1468,'DE-PARA'!C:D,2,0)),"NÃO ENCONTRADO")</f>
        <v>Outras Saídas</v>
      </c>
      <c r="L1468" s="50" t="str">
        <f>VLOOKUP(K1468,'Base -Receita-Despesa'!$B:$P,1,FALSE)</f>
        <v>Outras Saídas</v>
      </c>
    </row>
    <row r="1469" spans="1:12" ht="15" customHeight="1" x14ac:dyDescent="0.3">
      <c r="A1469" s="82" t="str">
        <f t="shared" si="44"/>
        <v>2016</v>
      </c>
      <c r="B1469" s="72" t="s">
        <v>131</v>
      </c>
      <c r="C1469" s="73" t="s">
        <v>132</v>
      </c>
      <c r="D1469" s="74" t="str">
        <f t="shared" si="45"/>
        <v>jun/2016</v>
      </c>
      <c r="E1469" s="53">
        <v>42536</v>
      </c>
      <c r="F1469" s="75" t="s">
        <v>1134</v>
      </c>
      <c r="G1469" s="72"/>
      <c r="H1469" s="49" t="s">
        <v>220</v>
      </c>
      <c r="I1469" s="49" t="s">
        <v>180</v>
      </c>
      <c r="J1469" s="76">
        <v>-664</v>
      </c>
      <c r="K1469" s="83" t="str">
        <f>IFERROR(IFERROR(VLOOKUP(I1469,'DE-PARA'!B:D,3,0),VLOOKUP(I1469,'DE-PARA'!C:D,2,0)),"NÃO ENCONTRADO")</f>
        <v>Serviços</v>
      </c>
      <c r="L1469" s="50" t="str">
        <f>VLOOKUP(K1469,'Base -Receita-Despesa'!$B:$P,1,FALSE)</f>
        <v>Serviços</v>
      </c>
    </row>
    <row r="1470" spans="1:12" ht="15" customHeight="1" x14ac:dyDescent="0.3">
      <c r="A1470" s="82" t="str">
        <f t="shared" si="44"/>
        <v>2016</v>
      </c>
      <c r="B1470" s="72" t="s">
        <v>131</v>
      </c>
      <c r="C1470" s="73" t="s">
        <v>132</v>
      </c>
      <c r="D1470" s="74" t="str">
        <f t="shared" si="45"/>
        <v>jun/2016</v>
      </c>
      <c r="E1470" s="53">
        <v>42536</v>
      </c>
      <c r="F1470" s="75" t="s">
        <v>259</v>
      </c>
      <c r="G1470" s="72"/>
      <c r="H1470" s="49" t="s">
        <v>1084</v>
      </c>
      <c r="I1470" s="49" t="s">
        <v>168</v>
      </c>
      <c r="J1470" s="76">
        <v>-122.64</v>
      </c>
      <c r="K1470" s="83" t="str">
        <f>IFERROR(IFERROR(VLOOKUP(I1470,'DE-PARA'!B:D,3,0),VLOOKUP(I1470,'DE-PARA'!C:D,2,0)),"NÃO ENCONTRADO")</f>
        <v>Pessoal</v>
      </c>
      <c r="L1470" s="50" t="str">
        <f>VLOOKUP(K1470,'Base -Receita-Despesa'!$B:$P,1,FALSE)</f>
        <v>Pessoal</v>
      </c>
    </row>
    <row r="1471" spans="1:12" ht="15" customHeight="1" x14ac:dyDescent="0.3">
      <c r="A1471" s="82" t="str">
        <f t="shared" si="44"/>
        <v>2016</v>
      </c>
      <c r="B1471" s="72" t="s">
        <v>131</v>
      </c>
      <c r="C1471" s="73" t="s">
        <v>132</v>
      </c>
      <c r="D1471" s="74" t="str">
        <f t="shared" si="45"/>
        <v>jun/2016</v>
      </c>
      <c r="E1471" s="53">
        <v>42536</v>
      </c>
      <c r="F1471" s="75" t="s">
        <v>164</v>
      </c>
      <c r="G1471" s="72"/>
      <c r="H1471" s="49" t="s">
        <v>1135</v>
      </c>
      <c r="I1471" s="49" t="s">
        <v>114</v>
      </c>
      <c r="J1471" s="76">
        <v>-1961.84</v>
      </c>
      <c r="K1471" s="83" t="str">
        <f>IFERROR(IFERROR(VLOOKUP(I1471,'DE-PARA'!B:D,3,0),VLOOKUP(I1471,'DE-PARA'!C:D,2,0)),"NÃO ENCONTRADO")</f>
        <v>Serviços</v>
      </c>
      <c r="L1471" s="50" t="str">
        <f>VLOOKUP(K1471,'Base -Receita-Despesa'!$B:$P,1,FALSE)</f>
        <v>Serviços</v>
      </c>
    </row>
    <row r="1472" spans="1:12" ht="15" customHeight="1" x14ac:dyDescent="0.3">
      <c r="A1472" s="82" t="str">
        <f t="shared" si="44"/>
        <v>2016</v>
      </c>
      <c r="B1472" s="72" t="s">
        <v>131</v>
      </c>
      <c r="C1472" s="73" t="s">
        <v>132</v>
      </c>
      <c r="D1472" s="74" t="str">
        <f t="shared" si="45"/>
        <v>jun/2016</v>
      </c>
      <c r="E1472" s="53">
        <v>42536</v>
      </c>
      <c r="F1472" s="75" t="s">
        <v>164</v>
      </c>
      <c r="G1472" s="72"/>
      <c r="H1472" s="49" t="s">
        <v>1136</v>
      </c>
      <c r="I1472" s="49" t="s">
        <v>113</v>
      </c>
      <c r="J1472" s="76">
        <v>-4456.26</v>
      </c>
      <c r="K1472" s="83" t="str">
        <f>IFERROR(IFERROR(VLOOKUP(I1472,'DE-PARA'!B:D,3,0),VLOOKUP(I1472,'DE-PARA'!C:D,2,0)),"NÃO ENCONTRADO")</f>
        <v>Serviços</v>
      </c>
      <c r="L1472" s="50" t="str">
        <f>VLOOKUP(K1472,'Base -Receita-Despesa'!$B:$P,1,FALSE)</f>
        <v>Serviços</v>
      </c>
    </row>
    <row r="1473" spans="1:12" ht="15" customHeight="1" x14ac:dyDescent="0.3">
      <c r="A1473" s="82" t="str">
        <f t="shared" si="44"/>
        <v>2016</v>
      </c>
      <c r="B1473" s="72" t="s">
        <v>131</v>
      </c>
      <c r="C1473" s="73" t="s">
        <v>132</v>
      </c>
      <c r="D1473" s="74" t="str">
        <f t="shared" si="45"/>
        <v>jun/2016</v>
      </c>
      <c r="E1473" s="53">
        <v>42536</v>
      </c>
      <c r="F1473" s="75" t="s">
        <v>164</v>
      </c>
      <c r="G1473" s="72"/>
      <c r="H1473" s="49" t="s">
        <v>1137</v>
      </c>
      <c r="I1473" s="49" t="s">
        <v>173</v>
      </c>
      <c r="J1473" s="76">
        <v>-912.34</v>
      </c>
      <c r="K1473" s="83" t="str">
        <f>IFERROR(IFERROR(VLOOKUP(I1473,'DE-PARA'!B:D,3,0),VLOOKUP(I1473,'DE-PARA'!C:D,2,0)),"NÃO ENCONTRADO")</f>
        <v>Serviços</v>
      </c>
      <c r="L1473" s="50" t="str">
        <f>VLOOKUP(K1473,'Base -Receita-Despesa'!$B:$P,1,FALSE)</f>
        <v>Serviços</v>
      </c>
    </row>
    <row r="1474" spans="1:12" ht="15" customHeight="1" x14ac:dyDescent="0.3">
      <c r="A1474" s="82" t="str">
        <f t="shared" si="44"/>
        <v>2016</v>
      </c>
      <c r="B1474" s="72" t="s">
        <v>131</v>
      </c>
      <c r="C1474" s="73" t="s">
        <v>132</v>
      </c>
      <c r="D1474" s="74" t="str">
        <f t="shared" si="45"/>
        <v>jun/2016</v>
      </c>
      <c r="E1474" s="53">
        <v>42536</v>
      </c>
      <c r="F1474" s="75" t="s">
        <v>164</v>
      </c>
      <c r="G1474" s="72"/>
      <c r="H1474" s="49" t="s">
        <v>1138</v>
      </c>
      <c r="I1474" s="49" t="s">
        <v>173</v>
      </c>
      <c r="J1474" s="76">
        <v>-553.45000000000005</v>
      </c>
      <c r="K1474" s="83" t="str">
        <f>IFERROR(IFERROR(VLOOKUP(I1474,'DE-PARA'!B:D,3,0),VLOOKUP(I1474,'DE-PARA'!C:D,2,0)),"NÃO ENCONTRADO")</f>
        <v>Serviços</v>
      </c>
      <c r="L1474" s="50" t="str">
        <f>VLOOKUP(K1474,'Base -Receita-Despesa'!$B:$P,1,FALSE)</f>
        <v>Serviços</v>
      </c>
    </row>
    <row r="1475" spans="1:12" ht="15" customHeight="1" x14ac:dyDescent="0.3">
      <c r="A1475" s="82" t="str">
        <f t="shared" si="44"/>
        <v>2016</v>
      </c>
      <c r="B1475" s="72" t="s">
        <v>131</v>
      </c>
      <c r="C1475" s="73" t="s">
        <v>132</v>
      </c>
      <c r="D1475" s="74" t="str">
        <f t="shared" si="45"/>
        <v>jun/2016</v>
      </c>
      <c r="E1475" s="53">
        <v>42536</v>
      </c>
      <c r="F1475" s="75" t="s">
        <v>164</v>
      </c>
      <c r="G1475" s="72"/>
      <c r="H1475" s="49" t="s">
        <v>1139</v>
      </c>
      <c r="I1475" s="49" t="s">
        <v>173</v>
      </c>
      <c r="J1475" s="76">
        <v>-428.22</v>
      </c>
      <c r="K1475" s="83" t="str">
        <f>IFERROR(IFERROR(VLOOKUP(I1475,'DE-PARA'!B:D,3,0),VLOOKUP(I1475,'DE-PARA'!C:D,2,0)),"NÃO ENCONTRADO")</f>
        <v>Serviços</v>
      </c>
      <c r="L1475" s="50" t="str">
        <f>VLOOKUP(K1475,'Base -Receita-Despesa'!$B:$P,1,FALSE)</f>
        <v>Serviços</v>
      </c>
    </row>
    <row r="1476" spans="1:12" ht="15" customHeight="1" x14ac:dyDescent="0.3">
      <c r="A1476" s="82" t="str">
        <f t="shared" ref="A1476:A1539" si="46">IF(K1476="NÃO ENCONTRADO",0,RIGHT(D1476,4))</f>
        <v>2016</v>
      </c>
      <c r="B1476" s="72" t="s">
        <v>131</v>
      </c>
      <c r="C1476" s="73" t="s">
        <v>132</v>
      </c>
      <c r="D1476" s="74" t="str">
        <f t="shared" ref="D1476:D1539" si="47">TEXT(E1476,"mmm/aaaa")</f>
        <v>jun/2016</v>
      </c>
      <c r="E1476" s="53">
        <v>42536</v>
      </c>
      <c r="F1476" s="75" t="s">
        <v>164</v>
      </c>
      <c r="G1476" s="72"/>
      <c r="H1476" s="49" t="s">
        <v>1140</v>
      </c>
      <c r="I1476" s="49" t="s">
        <v>171</v>
      </c>
      <c r="J1476" s="76">
        <v>-627.11</v>
      </c>
      <c r="K1476" s="83" t="str">
        <f>IFERROR(IFERROR(VLOOKUP(I1476,'DE-PARA'!B:D,3,0),VLOOKUP(I1476,'DE-PARA'!C:D,2,0)),"NÃO ENCONTRADO")</f>
        <v>Serviços</v>
      </c>
      <c r="L1476" s="50" t="str">
        <f>VLOOKUP(K1476,'Base -Receita-Despesa'!$B:$P,1,FALSE)</f>
        <v>Serviços</v>
      </c>
    </row>
    <row r="1477" spans="1:12" ht="15" customHeight="1" x14ac:dyDescent="0.3">
      <c r="A1477" s="82" t="str">
        <f t="shared" si="46"/>
        <v>2016</v>
      </c>
      <c r="B1477" s="72" t="s">
        <v>131</v>
      </c>
      <c r="C1477" s="73" t="s">
        <v>132</v>
      </c>
      <c r="D1477" s="74" t="str">
        <f t="shared" si="47"/>
        <v>jun/2016</v>
      </c>
      <c r="E1477" s="53">
        <v>42536</v>
      </c>
      <c r="F1477" s="75" t="s">
        <v>164</v>
      </c>
      <c r="G1477" s="72"/>
      <c r="H1477" s="49" t="s">
        <v>1141</v>
      </c>
      <c r="I1477" s="49" t="s">
        <v>171</v>
      </c>
      <c r="J1477" s="76">
        <v>-792</v>
      </c>
      <c r="K1477" s="83" t="str">
        <f>IFERROR(IFERROR(VLOOKUP(I1477,'DE-PARA'!B:D,3,0),VLOOKUP(I1477,'DE-PARA'!C:D,2,0)),"NÃO ENCONTRADO")</f>
        <v>Serviços</v>
      </c>
      <c r="L1477" s="50" t="str">
        <f>VLOOKUP(K1477,'Base -Receita-Despesa'!$B:$P,1,FALSE)</f>
        <v>Serviços</v>
      </c>
    </row>
    <row r="1478" spans="1:12" ht="15" customHeight="1" x14ac:dyDescent="0.3">
      <c r="A1478" s="82" t="str">
        <f t="shared" si="46"/>
        <v>2016</v>
      </c>
      <c r="B1478" s="72" t="s">
        <v>131</v>
      </c>
      <c r="C1478" s="73" t="s">
        <v>132</v>
      </c>
      <c r="D1478" s="74" t="str">
        <f t="shared" si="47"/>
        <v>jun/2016</v>
      </c>
      <c r="E1478" s="53">
        <v>42536</v>
      </c>
      <c r="F1478" s="75" t="s">
        <v>164</v>
      </c>
      <c r="G1478" s="72"/>
      <c r="H1478" s="49" t="s">
        <v>1142</v>
      </c>
      <c r="I1478" s="49" t="s">
        <v>171</v>
      </c>
      <c r="J1478" s="76">
        <v>-320.13</v>
      </c>
      <c r="K1478" s="83" t="str">
        <f>IFERROR(IFERROR(VLOOKUP(I1478,'DE-PARA'!B:D,3,0),VLOOKUP(I1478,'DE-PARA'!C:D,2,0)),"NÃO ENCONTRADO")</f>
        <v>Serviços</v>
      </c>
      <c r="L1478" s="50" t="str">
        <f>VLOOKUP(K1478,'Base -Receita-Despesa'!$B:$P,1,FALSE)</f>
        <v>Serviços</v>
      </c>
    </row>
    <row r="1479" spans="1:12" ht="15" customHeight="1" x14ac:dyDescent="0.3">
      <c r="A1479" s="82" t="str">
        <f t="shared" si="46"/>
        <v>2016</v>
      </c>
      <c r="B1479" s="72" t="s">
        <v>131</v>
      </c>
      <c r="C1479" s="73" t="s">
        <v>132</v>
      </c>
      <c r="D1479" s="74" t="str">
        <f t="shared" si="47"/>
        <v>jun/2016</v>
      </c>
      <c r="E1479" s="53">
        <v>42536</v>
      </c>
      <c r="F1479" s="75" t="s">
        <v>1143</v>
      </c>
      <c r="G1479" s="72"/>
      <c r="H1479" s="49" t="s">
        <v>205</v>
      </c>
      <c r="I1479" s="49" t="s">
        <v>206</v>
      </c>
      <c r="J1479" s="76">
        <v>-4000</v>
      </c>
      <c r="K1479" s="83" t="str">
        <f>IFERROR(IFERROR(VLOOKUP(I1479,'DE-PARA'!B:D,3,0),VLOOKUP(I1479,'DE-PARA'!C:D,2,0)),"NÃO ENCONTRADO")</f>
        <v>Serviços</v>
      </c>
      <c r="L1479" s="50" t="str">
        <f>VLOOKUP(K1479,'Base -Receita-Despesa'!$B:$P,1,FALSE)</f>
        <v>Serviços</v>
      </c>
    </row>
    <row r="1480" spans="1:12" ht="15" customHeight="1" x14ac:dyDescent="0.3">
      <c r="A1480" s="82" t="str">
        <f t="shared" si="46"/>
        <v>2016</v>
      </c>
      <c r="B1480" s="72" t="s">
        <v>131</v>
      </c>
      <c r="C1480" s="73" t="s">
        <v>132</v>
      </c>
      <c r="D1480" s="74" t="str">
        <f t="shared" si="47"/>
        <v>jun/2016</v>
      </c>
      <c r="E1480" s="53">
        <v>42536</v>
      </c>
      <c r="F1480" s="75" t="s">
        <v>1104</v>
      </c>
      <c r="G1480" s="72"/>
      <c r="H1480" s="49" t="s">
        <v>1105</v>
      </c>
      <c r="I1480" s="49" t="s">
        <v>150</v>
      </c>
      <c r="J1480" s="76">
        <v>1221.3</v>
      </c>
      <c r="K1480" s="83" t="str">
        <f>IFERROR(IFERROR(VLOOKUP(I1480,'DE-PARA'!B:D,3,0),VLOOKUP(I1480,'DE-PARA'!C:D,2,0)),"NÃO ENCONTRADO")</f>
        <v>Materiais</v>
      </c>
      <c r="L1480" s="50" t="str">
        <f>VLOOKUP(K1480,'Base -Receita-Despesa'!$B:$P,1,FALSE)</f>
        <v>Materiais</v>
      </c>
    </row>
    <row r="1481" spans="1:12" ht="15" customHeight="1" x14ac:dyDescent="0.3">
      <c r="A1481" s="82" t="str">
        <f t="shared" si="46"/>
        <v>2016</v>
      </c>
      <c r="B1481" s="72" t="s">
        <v>131</v>
      </c>
      <c r="C1481" s="73" t="s">
        <v>132</v>
      </c>
      <c r="D1481" s="74" t="str">
        <f t="shared" si="47"/>
        <v>jun/2016</v>
      </c>
      <c r="E1481" s="53">
        <v>42536</v>
      </c>
      <c r="F1481" s="75" t="s">
        <v>1104</v>
      </c>
      <c r="G1481" s="72"/>
      <c r="H1481" s="49" t="s">
        <v>1105</v>
      </c>
      <c r="I1481" s="49" t="s">
        <v>150</v>
      </c>
      <c r="J1481" s="76">
        <v>-1221.3</v>
      </c>
      <c r="K1481" s="83" t="str">
        <f>IFERROR(IFERROR(VLOOKUP(I1481,'DE-PARA'!B:D,3,0),VLOOKUP(I1481,'DE-PARA'!C:D,2,0)),"NÃO ENCONTRADO")</f>
        <v>Materiais</v>
      </c>
      <c r="L1481" s="50" t="str">
        <f>VLOOKUP(K1481,'Base -Receita-Despesa'!$B:$P,1,FALSE)</f>
        <v>Materiais</v>
      </c>
    </row>
    <row r="1482" spans="1:12" ht="15" customHeight="1" x14ac:dyDescent="0.3">
      <c r="A1482" s="82" t="str">
        <f t="shared" si="46"/>
        <v>2016</v>
      </c>
      <c r="B1482" s="72" t="s">
        <v>131</v>
      </c>
      <c r="C1482" s="73" t="s">
        <v>132</v>
      </c>
      <c r="D1482" s="74" t="str">
        <f t="shared" si="47"/>
        <v>jun/2016</v>
      </c>
      <c r="E1482" s="53">
        <v>42536</v>
      </c>
      <c r="F1482" s="75" t="s">
        <v>1144</v>
      </c>
      <c r="G1482" s="72"/>
      <c r="H1482" s="49" t="s">
        <v>211</v>
      </c>
      <c r="I1482" s="49" t="s">
        <v>157</v>
      </c>
      <c r="J1482" s="76">
        <v>-7000</v>
      </c>
      <c r="K1482" s="83" t="str">
        <f>IFERROR(IFERROR(VLOOKUP(I1482,'DE-PARA'!B:D,3,0),VLOOKUP(I1482,'DE-PARA'!C:D,2,0)),"NÃO ENCONTRADO")</f>
        <v>Concessionárias (água, luz e telefone)</v>
      </c>
      <c r="L1482" s="50" t="str">
        <f>VLOOKUP(K1482,'Base -Receita-Despesa'!$B:$P,1,FALSE)</f>
        <v>Concessionárias (água, luz e telefone)</v>
      </c>
    </row>
    <row r="1483" spans="1:12" ht="15" customHeight="1" x14ac:dyDescent="0.3">
      <c r="A1483" s="82" t="str">
        <f t="shared" si="46"/>
        <v>2016</v>
      </c>
      <c r="B1483" s="72" t="s">
        <v>131</v>
      </c>
      <c r="C1483" s="73" t="s">
        <v>132</v>
      </c>
      <c r="D1483" s="74" t="str">
        <f t="shared" si="47"/>
        <v>jun/2016</v>
      </c>
      <c r="E1483" s="53">
        <v>42536</v>
      </c>
      <c r="F1483" s="75" t="s">
        <v>1054</v>
      </c>
      <c r="G1483" s="72"/>
      <c r="H1483" s="49" t="s">
        <v>1055</v>
      </c>
      <c r="I1483" s="49" t="s">
        <v>1056</v>
      </c>
      <c r="J1483" s="76">
        <v>56919.85</v>
      </c>
      <c r="K1483" s="83" t="str">
        <f>IFERROR(IFERROR(VLOOKUP(I1483,'DE-PARA'!B:D,3,0),VLOOKUP(I1483,'DE-PARA'!C:D,2,0)),"NÃO ENCONTRADO")</f>
        <v>ENTRADA CONTA APLICAÇÃO (+)</v>
      </c>
      <c r="L1483" s="50" t="str">
        <f>VLOOKUP(K1483,'Base -Receita-Despesa'!$B:$P,1,FALSE)</f>
        <v>ENTRADA CONTA APLICAÇÃO (+)</v>
      </c>
    </row>
    <row r="1484" spans="1:12" ht="15" customHeight="1" x14ac:dyDescent="0.3">
      <c r="A1484" s="82" t="str">
        <f t="shared" si="46"/>
        <v>2016</v>
      </c>
      <c r="B1484" s="72" t="s">
        <v>131</v>
      </c>
      <c r="C1484" s="73" t="s">
        <v>132</v>
      </c>
      <c r="D1484" s="74" t="str">
        <f t="shared" si="47"/>
        <v>jun/2016</v>
      </c>
      <c r="E1484" s="53">
        <v>42536</v>
      </c>
      <c r="F1484" s="75" t="s">
        <v>259</v>
      </c>
      <c r="G1484" s="72"/>
      <c r="H1484" s="49" t="s">
        <v>1085</v>
      </c>
      <c r="I1484" s="49" t="s">
        <v>168</v>
      </c>
      <c r="J1484" s="76">
        <v>-12.96</v>
      </c>
      <c r="K1484" s="83" t="str">
        <f>IFERROR(IFERROR(VLOOKUP(I1484,'DE-PARA'!B:D,3,0),VLOOKUP(I1484,'DE-PARA'!C:D,2,0)),"NÃO ENCONTRADO")</f>
        <v>Pessoal</v>
      </c>
      <c r="L1484" s="50" t="str">
        <f>VLOOKUP(K1484,'Base -Receita-Despesa'!$B:$P,1,FALSE)</f>
        <v>Pessoal</v>
      </c>
    </row>
    <row r="1485" spans="1:12" ht="15" customHeight="1" x14ac:dyDescent="0.3">
      <c r="A1485" s="82" t="str">
        <f t="shared" si="46"/>
        <v>2016</v>
      </c>
      <c r="B1485" s="72" t="s">
        <v>131</v>
      </c>
      <c r="C1485" s="73" t="s">
        <v>132</v>
      </c>
      <c r="D1485" s="74" t="str">
        <f t="shared" si="47"/>
        <v>jun/2016</v>
      </c>
      <c r="E1485" s="53">
        <v>42536</v>
      </c>
      <c r="F1485" s="75" t="s">
        <v>1145</v>
      </c>
      <c r="G1485" s="72"/>
      <c r="H1485" s="49" t="s">
        <v>172</v>
      </c>
      <c r="I1485" s="49" t="s">
        <v>173</v>
      </c>
      <c r="J1485" s="76">
        <v>-15311.91</v>
      </c>
      <c r="K1485" s="83" t="str">
        <f>IFERROR(IFERROR(VLOOKUP(I1485,'DE-PARA'!B:D,3,0),VLOOKUP(I1485,'DE-PARA'!C:D,2,0)),"NÃO ENCONTRADO")</f>
        <v>Serviços</v>
      </c>
      <c r="L1485" s="50" t="str">
        <f>VLOOKUP(K1485,'Base -Receita-Despesa'!$B:$P,1,FALSE)</f>
        <v>Serviços</v>
      </c>
    </row>
    <row r="1486" spans="1:12" ht="15" customHeight="1" x14ac:dyDescent="0.3">
      <c r="A1486" s="82" t="str">
        <f t="shared" si="46"/>
        <v>2016</v>
      </c>
      <c r="B1486" s="72" t="s">
        <v>131</v>
      </c>
      <c r="C1486" s="73" t="s">
        <v>132</v>
      </c>
      <c r="D1486" s="74" t="str">
        <f t="shared" si="47"/>
        <v>jun/2016</v>
      </c>
      <c r="E1486" s="53">
        <v>42536</v>
      </c>
      <c r="F1486" s="75" t="s">
        <v>1146</v>
      </c>
      <c r="G1486" s="72"/>
      <c r="H1486" s="49" t="s">
        <v>172</v>
      </c>
      <c r="I1486" s="49" t="s">
        <v>173</v>
      </c>
      <c r="J1486" s="76">
        <v>-12956.28</v>
      </c>
      <c r="K1486" s="83" t="str">
        <f>IFERROR(IFERROR(VLOOKUP(I1486,'DE-PARA'!B:D,3,0),VLOOKUP(I1486,'DE-PARA'!C:D,2,0)),"NÃO ENCONTRADO")</f>
        <v>Serviços</v>
      </c>
      <c r="L1486" s="50" t="str">
        <f>VLOOKUP(K1486,'Base -Receita-Despesa'!$B:$P,1,FALSE)</f>
        <v>Serviços</v>
      </c>
    </row>
    <row r="1487" spans="1:12" ht="15" customHeight="1" x14ac:dyDescent="0.3">
      <c r="A1487" s="82" t="str">
        <f t="shared" si="46"/>
        <v>2016</v>
      </c>
      <c r="B1487" s="72" t="s">
        <v>131</v>
      </c>
      <c r="C1487" s="73" t="s">
        <v>132</v>
      </c>
      <c r="D1487" s="74" t="str">
        <f t="shared" si="47"/>
        <v>jun/2016</v>
      </c>
      <c r="E1487" s="53">
        <v>42536</v>
      </c>
      <c r="F1487" s="75" t="s">
        <v>1147</v>
      </c>
      <c r="G1487" s="72"/>
      <c r="H1487" s="49" t="s">
        <v>218</v>
      </c>
      <c r="I1487" s="49" t="s">
        <v>110</v>
      </c>
      <c r="J1487" s="76">
        <v>-4392</v>
      </c>
      <c r="K1487" s="83" t="str">
        <f>IFERROR(IFERROR(VLOOKUP(I1487,'DE-PARA'!B:D,3,0),VLOOKUP(I1487,'DE-PARA'!C:D,2,0)),"NÃO ENCONTRADO")</f>
        <v>Serviços</v>
      </c>
      <c r="L1487" s="50" t="str">
        <f>VLOOKUP(K1487,'Base -Receita-Despesa'!$B:$P,1,FALSE)</f>
        <v>Serviços</v>
      </c>
    </row>
    <row r="1488" spans="1:12" ht="15" customHeight="1" x14ac:dyDescent="0.3">
      <c r="A1488" s="82" t="str">
        <f t="shared" si="46"/>
        <v>2016</v>
      </c>
      <c r="B1488" s="72" t="s">
        <v>131</v>
      </c>
      <c r="C1488" s="73" t="s">
        <v>132</v>
      </c>
      <c r="D1488" s="74" t="str">
        <f t="shared" si="47"/>
        <v>jun/2016</v>
      </c>
      <c r="E1488" s="53">
        <v>42537</v>
      </c>
      <c r="F1488" s="75" t="s">
        <v>583</v>
      </c>
      <c r="G1488" s="72"/>
      <c r="H1488" s="49" t="s">
        <v>187</v>
      </c>
      <c r="I1488" s="49" t="s">
        <v>110</v>
      </c>
      <c r="J1488" s="76">
        <v>-2700</v>
      </c>
      <c r="K1488" s="83" t="str">
        <f>IFERROR(IFERROR(VLOOKUP(I1488,'DE-PARA'!B:D,3,0),VLOOKUP(I1488,'DE-PARA'!C:D,2,0)),"NÃO ENCONTRADO")</f>
        <v>Serviços</v>
      </c>
      <c r="L1488" s="50" t="str">
        <f>VLOOKUP(K1488,'Base -Receita-Despesa'!$B:$P,1,FALSE)</f>
        <v>Serviços</v>
      </c>
    </row>
    <row r="1489" spans="1:12" ht="15" customHeight="1" x14ac:dyDescent="0.3">
      <c r="A1489" s="82" t="str">
        <f t="shared" si="46"/>
        <v>2016</v>
      </c>
      <c r="B1489" s="72" t="s">
        <v>131</v>
      </c>
      <c r="C1489" s="73" t="s">
        <v>132</v>
      </c>
      <c r="D1489" s="74" t="str">
        <f t="shared" si="47"/>
        <v>jun/2016</v>
      </c>
      <c r="E1489" s="53">
        <v>42537</v>
      </c>
      <c r="F1489" s="75" t="s">
        <v>1044</v>
      </c>
      <c r="G1489" s="72"/>
      <c r="H1489" s="49" t="s">
        <v>187</v>
      </c>
      <c r="I1489" s="49" t="s">
        <v>159</v>
      </c>
      <c r="J1489" s="76">
        <v>-1563.8</v>
      </c>
      <c r="K1489" s="83" t="str">
        <f>IFERROR(IFERROR(VLOOKUP(I1489,'DE-PARA'!B:D,3,0),VLOOKUP(I1489,'DE-PARA'!C:D,2,0)),"NÃO ENCONTRADO")</f>
        <v>Materiais</v>
      </c>
      <c r="L1489" s="50" t="str">
        <f>VLOOKUP(K1489,'Base -Receita-Despesa'!$B:$P,1,FALSE)</f>
        <v>Materiais</v>
      </c>
    </row>
    <row r="1490" spans="1:12" ht="15" customHeight="1" x14ac:dyDescent="0.3">
      <c r="A1490" s="82" t="str">
        <f t="shared" si="46"/>
        <v>2016</v>
      </c>
      <c r="B1490" s="72" t="s">
        <v>131</v>
      </c>
      <c r="C1490" s="73" t="s">
        <v>132</v>
      </c>
      <c r="D1490" s="74" t="str">
        <f t="shared" si="47"/>
        <v>jun/2016</v>
      </c>
      <c r="E1490" s="53">
        <v>42537</v>
      </c>
      <c r="F1490" s="75" t="s">
        <v>840</v>
      </c>
      <c r="G1490" s="72"/>
      <c r="H1490" s="49" t="s">
        <v>863</v>
      </c>
      <c r="I1490" s="49" t="s">
        <v>129</v>
      </c>
      <c r="J1490" s="76">
        <v>-7.85</v>
      </c>
      <c r="K1490" s="83" t="str">
        <f>IFERROR(IFERROR(VLOOKUP(I1490,'DE-PARA'!B:D,3,0),VLOOKUP(I1490,'DE-PARA'!C:D,2,0)),"NÃO ENCONTRADO")</f>
        <v>Outras Saídas</v>
      </c>
      <c r="L1490" s="50" t="str">
        <f>VLOOKUP(K1490,'Base -Receita-Despesa'!$B:$P,1,FALSE)</f>
        <v>Outras Saídas</v>
      </c>
    </row>
    <row r="1491" spans="1:12" ht="15" customHeight="1" x14ac:dyDescent="0.3">
      <c r="A1491" s="82" t="str">
        <f t="shared" si="46"/>
        <v>2016</v>
      </c>
      <c r="B1491" s="72" t="s">
        <v>131</v>
      </c>
      <c r="C1491" s="73" t="s">
        <v>132</v>
      </c>
      <c r="D1491" s="74" t="str">
        <f t="shared" si="47"/>
        <v>jun/2016</v>
      </c>
      <c r="E1491" s="53">
        <v>42537</v>
      </c>
      <c r="F1491" s="75" t="s">
        <v>840</v>
      </c>
      <c r="G1491" s="72"/>
      <c r="H1491" s="49" t="s">
        <v>863</v>
      </c>
      <c r="I1491" s="49" t="s">
        <v>129</v>
      </c>
      <c r="J1491" s="76">
        <v>-7.85</v>
      </c>
      <c r="K1491" s="83" t="str">
        <f>IFERROR(IFERROR(VLOOKUP(I1491,'DE-PARA'!B:D,3,0),VLOOKUP(I1491,'DE-PARA'!C:D,2,0)),"NÃO ENCONTRADO")</f>
        <v>Outras Saídas</v>
      </c>
      <c r="L1491" s="50" t="str">
        <f>VLOOKUP(K1491,'Base -Receita-Despesa'!$B:$P,1,FALSE)</f>
        <v>Outras Saídas</v>
      </c>
    </row>
    <row r="1492" spans="1:12" ht="15" customHeight="1" x14ac:dyDescent="0.3">
      <c r="A1492" s="82" t="str">
        <f t="shared" si="46"/>
        <v>2016</v>
      </c>
      <c r="B1492" s="72" t="s">
        <v>131</v>
      </c>
      <c r="C1492" s="73" t="s">
        <v>132</v>
      </c>
      <c r="D1492" s="74" t="str">
        <f t="shared" si="47"/>
        <v>jun/2016</v>
      </c>
      <c r="E1492" s="53">
        <v>42537</v>
      </c>
      <c r="F1492" s="75" t="s">
        <v>840</v>
      </c>
      <c r="G1492" s="72"/>
      <c r="H1492" s="49" t="s">
        <v>863</v>
      </c>
      <c r="I1492" s="49" t="s">
        <v>129</v>
      </c>
      <c r="J1492" s="76">
        <v>-7.85</v>
      </c>
      <c r="K1492" s="83" t="str">
        <f>IFERROR(IFERROR(VLOOKUP(I1492,'DE-PARA'!B:D,3,0),VLOOKUP(I1492,'DE-PARA'!C:D,2,0)),"NÃO ENCONTRADO")</f>
        <v>Outras Saídas</v>
      </c>
      <c r="L1492" s="50" t="str">
        <f>VLOOKUP(K1492,'Base -Receita-Despesa'!$B:$P,1,FALSE)</f>
        <v>Outras Saídas</v>
      </c>
    </row>
    <row r="1493" spans="1:12" ht="15" customHeight="1" x14ac:dyDescent="0.3">
      <c r="A1493" s="82" t="str">
        <f t="shared" si="46"/>
        <v>2016</v>
      </c>
      <c r="B1493" s="72" t="s">
        <v>131</v>
      </c>
      <c r="C1493" s="73" t="s">
        <v>132</v>
      </c>
      <c r="D1493" s="74" t="str">
        <f t="shared" si="47"/>
        <v>jun/2016</v>
      </c>
      <c r="E1493" s="53">
        <v>42537</v>
      </c>
      <c r="F1493" s="75" t="s">
        <v>840</v>
      </c>
      <c r="G1493" s="72"/>
      <c r="H1493" s="49" t="s">
        <v>863</v>
      </c>
      <c r="I1493" s="49" t="s">
        <v>129</v>
      </c>
      <c r="J1493" s="76">
        <v>-7.85</v>
      </c>
      <c r="K1493" s="83" t="str">
        <f>IFERROR(IFERROR(VLOOKUP(I1493,'DE-PARA'!B:D,3,0),VLOOKUP(I1493,'DE-PARA'!C:D,2,0)),"NÃO ENCONTRADO")</f>
        <v>Outras Saídas</v>
      </c>
      <c r="L1493" s="50" t="str">
        <f>VLOOKUP(K1493,'Base -Receita-Despesa'!$B:$P,1,FALSE)</f>
        <v>Outras Saídas</v>
      </c>
    </row>
    <row r="1494" spans="1:12" ht="15" customHeight="1" x14ac:dyDescent="0.3">
      <c r="A1494" s="82" t="str">
        <f t="shared" si="46"/>
        <v>2016</v>
      </c>
      <c r="B1494" s="72" t="s">
        <v>131</v>
      </c>
      <c r="C1494" s="73" t="s">
        <v>132</v>
      </c>
      <c r="D1494" s="74" t="str">
        <f t="shared" si="47"/>
        <v>jun/2016</v>
      </c>
      <c r="E1494" s="53">
        <v>42537</v>
      </c>
      <c r="F1494" s="75" t="s">
        <v>1098</v>
      </c>
      <c r="G1494" s="72"/>
      <c r="H1494" s="49" t="s">
        <v>203</v>
      </c>
      <c r="I1494" s="49" t="s">
        <v>204</v>
      </c>
      <c r="J1494" s="76">
        <v>68.099999999999994</v>
      </c>
      <c r="K1494" s="83" t="str">
        <f>IFERROR(IFERROR(VLOOKUP(I1494,'DE-PARA'!B:D,3,0),VLOOKUP(I1494,'DE-PARA'!C:D,2,0)),"NÃO ENCONTRADO")</f>
        <v>Serviços</v>
      </c>
      <c r="L1494" s="50" t="str">
        <f>VLOOKUP(K1494,'Base -Receita-Despesa'!$B:$P,1,FALSE)</f>
        <v>Serviços</v>
      </c>
    </row>
    <row r="1495" spans="1:12" ht="15" customHeight="1" x14ac:dyDescent="0.3">
      <c r="A1495" s="82" t="str">
        <f t="shared" si="46"/>
        <v>2016</v>
      </c>
      <c r="B1495" s="72" t="s">
        <v>131</v>
      </c>
      <c r="C1495" s="73" t="s">
        <v>132</v>
      </c>
      <c r="D1495" s="74" t="str">
        <f t="shared" si="47"/>
        <v>jun/2016</v>
      </c>
      <c r="E1495" s="53">
        <v>42537</v>
      </c>
      <c r="F1495" s="75" t="s">
        <v>1148</v>
      </c>
      <c r="G1495" s="72"/>
      <c r="H1495" s="49" t="s">
        <v>225</v>
      </c>
      <c r="I1495" s="49" t="s">
        <v>110</v>
      </c>
      <c r="J1495" s="76">
        <v>-13974</v>
      </c>
      <c r="K1495" s="83" t="str">
        <f>IFERROR(IFERROR(VLOOKUP(I1495,'DE-PARA'!B:D,3,0),VLOOKUP(I1495,'DE-PARA'!C:D,2,0)),"NÃO ENCONTRADO")</f>
        <v>Serviços</v>
      </c>
      <c r="L1495" s="50" t="str">
        <f>VLOOKUP(K1495,'Base -Receita-Despesa'!$B:$P,1,FALSE)</f>
        <v>Serviços</v>
      </c>
    </row>
    <row r="1496" spans="1:12" ht="15" customHeight="1" x14ac:dyDescent="0.3">
      <c r="A1496" s="82" t="str">
        <f t="shared" si="46"/>
        <v>2016</v>
      </c>
      <c r="B1496" s="72" t="s">
        <v>131</v>
      </c>
      <c r="C1496" s="73" t="s">
        <v>132</v>
      </c>
      <c r="D1496" s="74" t="str">
        <f t="shared" si="47"/>
        <v>jun/2016</v>
      </c>
      <c r="E1496" s="53">
        <v>42537</v>
      </c>
      <c r="F1496" s="75" t="s">
        <v>1149</v>
      </c>
      <c r="G1496" s="72"/>
      <c r="H1496" s="49" t="s">
        <v>225</v>
      </c>
      <c r="I1496" s="49" t="s">
        <v>110</v>
      </c>
      <c r="J1496" s="76">
        <v>-1750</v>
      </c>
      <c r="K1496" s="83" t="str">
        <f>IFERROR(IFERROR(VLOOKUP(I1496,'DE-PARA'!B:D,3,0),VLOOKUP(I1496,'DE-PARA'!C:D,2,0)),"NÃO ENCONTRADO")</f>
        <v>Serviços</v>
      </c>
      <c r="L1496" s="50" t="str">
        <f>VLOOKUP(K1496,'Base -Receita-Despesa'!$B:$P,1,FALSE)</f>
        <v>Serviços</v>
      </c>
    </row>
    <row r="1497" spans="1:12" ht="15" customHeight="1" x14ac:dyDescent="0.3">
      <c r="A1497" s="82" t="str">
        <f t="shared" si="46"/>
        <v>2016</v>
      </c>
      <c r="B1497" s="72" t="s">
        <v>131</v>
      </c>
      <c r="C1497" s="73" t="s">
        <v>132</v>
      </c>
      <c r="D1497" s="74" t="str">
        <f t="shared" si="47"/>
        <v>jun/2016</v>
      </c>
      <c r="E1497" s="53">
        <v>42537</v>
      </c>
      <c r="F1497" s="75" t="s">
        <v>1054</v>
      </c>
      <c r="G1497" s="72"/>
      <c r="H1497" s="49" t="s">
        <v>1055</v>
      </c>
      <c r="I1497" s="49" t="s">
        <v>1056</v>
      </c>
      <c r="J1497" s="76">
        <v>20081.099999999999</v>
      </c>
      <c r="K1497" s="83" t="str">
        <f>IFERROR(IFERROR(VLOOKUP(I1497,'DE-PARA'!B:D,3,0),VLOOKUP(I1497,'DE-PARA'!C:D,2,0)),"NÃO ENCONTRADO")</f>
        <v>ENTRADA CONTA APLICAÇÃO (+)</v>
      </c>
      <c r="L1497" s="50" t="str">
        <f>VLOOKUP(K1497,'Base -Receita-Despesa'!$B:$P,1,FALSE)</f>
        <v>ENTRADA CONTA APLICAÇÃO (+)</v>
      </c>
    </row>
    <row r="1498" spans="1:12" ht="15" customHeight="1" x14ac:dyDescent="0.3">
      <c r="A1498" s="82" t="str">
        <f t="shared" si="46"/>
        <v>2016</v>
      </c>
      <c r="B1498" s="72" t="s">
        <v>131</v>
      </c>
      <c r="C1498" s="73" t="s">
        <v>132</v>
      </c>
      <c r="D1498" s="74" t="str">
        <f t="shared" si="47"/>
        <v>jun/2016</v>
      </c>
      <c r="E1498" s="53">
        <v>42537</v>
      </c>
      <c r="F1498" s="75" t="s">
        <v>1150</v>
      </c>
      <c r="G1498" s="72"/>
      <c r="H1498" s="49" t="s">
        <v>668</v>
      </c>
      <c r="I1498" s="49" t="s">
        <v>150</v>
      </c>
      <c r="J1498" s="76">
        <v>-130</v>
      </c>
      <c r="K1498" s="83" t="str">
        <f>IFERROR(IFERROR(VLOOKUP(I1498,'DE-PARA'!B:D,3,0),VLOOKUP(I1498,'DE-PARA'!C:D,2,0)),"NÃO ENCONTRADO")</f>
        <v>Materiais</v>
      </c>
      <c r="L1498" s="50" t="str">
        <f>VLOOKUP(K1498,'Base -Receita-Despesa'!$B:$P,1,FALSE)</f>
        <v>Materiais</v>
      </c>
    </row>
    <row r="1499" spans="1:12" ht="15" customHeight="1" x14ac:dyDescent="0.3">
      <c r="A1499" s="82" t="str">
        <f t="shared" si="46"/>
        <v>2016</v>
      </c>
      <c r="B1499" s="72" t="s">
        <v>131</v>
      </c>
      <c r="C1499" s="73" t="s">
        <v>132</v>
      </c>
      <c r="D1499" s="74" t="str">
        <f t="shared" si="47"/>
        <v>jun/2016</v>
      </c>
      <c r="E1499" s="53">
        <v>42538</v>
      </c>
      <c r="F1499" s="75" t="s">
        <v>1045</v>
      </c>
      <c r="G1499" s="72"/>
      <c r="H1499" s="49" t="s">
        <v>1046</v>
      </c>
      <c r="I1499" s="49" t="s">
        <v>121</v>
      </c>
      <c r="J1499" s="76">
        <v>266157.56</v>
      </c>
      <c r="K1499" s="83" t="s">
        <v>93</v>
      </c>
      <c r="L1499" s="50" t="str">
        <f>VLOOKUP(K1499,'Base -Receita-Despesa'!$B:$P,1,FALSE)</f>
        <v>Transferências da c/c para c/a ou c/p (-)</v>
      </c>
    </row>
    <row r="1500" spans="1:12" ht="15" customHeight="1" x14ac:dyDescent="0.3">
      <c r="A1500" s="82" t="str">
        <f t="shared" si="46"/>
        <v>2016</v>
      </c>
      <c r="B1500" s="72" t="s">
        <v>131</v>
      </c>
      <c r="C1500" s="73" t="s">
        <v>132</v>
      </c>
      <c r="D1500" s="74" t="str">
        <f t="shared" si="47"/>
        <v>jun/2016</v>
      </c>
      <c r="E1500" s="53">
        <v>42538</v>
      </c>
      <c r="F1500" s="75" t="s">
        <v>840</v>
      </c>
      <c r="G1500" s="72"/>
      <c r="H1500" s="49" t="s">
        <v>863</v>
      </c>
      <c r="I1500" s="49" t="s">
        <v>129</v>
      </c>
      <c r="J1500" s="76">
        <v>-7.85</v>
      </c>
      <c r="K1500" s="83" t="str">
        <f>IFERROR(IFERROR(VLOOKUP(I1500,'DE-PARA'!B:D,3,0),VLOOKUP(I1500,'DE-PARA'!C:D,2,0)),"NÃO ENCONTRADO")</f>
        <v>Outras Saídas</v>
      </c>
      <c r="L1500" s="50" t="str">
        <f>VLOOKUP(K1500,'Base -Receita-Despesa'!$B:$P,1,FALSE)</f>
        <v>Outras Saídas</v>
      </c>
    </row>
    <row r="1501" spans="1:12" ht="15" customHeight="1" x14ac:dyDescent="0.3">
      <c r="A1501" s="82" t="str">
        <f t="shared" si="46"/>
        <v>2016</v>
      </c>
      <c r="B1501" s="72" t="s">
        <v>131</v>
      </c>
      <c r="C1501" s="73" t="s">
        <v>132</v>
      </c>
      <c r="D1501" s="74" t="str">
        <f t="shared" si="47"/>
        <v>jun/2016</v>
      </c>
      <c r="E1501" s="53">
        <v>42538</v>
      </c>
      <c r="F1501" s="75" t="s">
        <v>1104</v>
      </c>
      <c r="G1501" s="72"/>
      <c r="H1501" s="49" t="s">
        <v>1105</v>
      </c>
      <c r="I1501" s="49" t="s">
        <v>150</v>
      </c>
      <c r="J1501" s="76">
        <v>1221.3</v>
      </c>
      <c r="K1501" s="83" t="str">
        <f>IFERROR(IFERROR(VLOOKUP(I1501,'DE-PARA'!B:D,3,0),VLOOKUP(I1501,'DE-PARA'!C:D,2,0)),"NÃO ENCONTRADO")</f>
        <v>Materiais</v>
      </c>
      <c r="L1501" s="50" t="str">
        <f>VLOOKUP(K1501,'Base -Receita-Despesa'!$B:$P,1,FALSE)</f>
        <v>Materiais</v>
      </c>
    </row>
    <row r="1502" spans="1:12" ht="15" customHeight="1" x14ac:dyDescent="0.3">
      <c r="A1502" s="82" t="str">
        <f t="shared" si="46"/>
        <v>2016</v>
      </c>
      <c r="B1502" s="72" t="s">
        <v>131</v>
      </c>
      <c r="C1502" s="73" t="s">
        <v>132</v>
      </c>
      <c r="D1502" s="74" t="str">
        <f t="shared" si="47"/>
        <v>jun/2016</v>
      </c>
      <c r="E1502" s="53">
        <v>42538</v>
      </c>
      <c r="F1502" s="75" t="s">
        <v>1104</v>
      </c>
      <c r="G1502" s="72"/>
      <c r="H1502" s="49" t="s">
        <v>1105</v>
      </c>
      <c r="I1502" s="49" t="s">
        <v>150</v>
      </c>
      <c r="J1502" s="76">
        <v>-1221.3</v>
      </c>
      <c r="K1502" s="83" t="str">
        <f>IFERROR(IFERROR(VLOOKUP(I1502,'DE-PARA'!B:D,3,0),VLOOKUP(I1502,'DE-PARA'!C:D,2,0)),"NÃO ENCONTRADO")</f>
        <v>Materiais</v>
      </c>
      <c r="L1502" s="50" t="str">
        <f>VLOOKUP(K1502,'Base -Receita-Despesa'!$B:$P,1,FALSE)</f>
        <v>Materiais</v>
      </c>
    </row>
    <row r="1503" spans="1:12" ht="15" customHeight="1" x14ac:dyDescent="0.3">
      <c r="A1503" s="82" t="str">
        <f t="shared" si="46"/>
        <v>2016</v>
      </c>
      <c r="B1503" s="72" t="s">
        <v>249</v>
      </c>
      <c r="C1503" s="73" t="s">
        <v>132</v>
      </c>
      <c r="D1503" s="74" t="str">
        <f t="shared" si="47"/>
        <v>jun/2016</v>
      </c>
      <c r="E1503" s="53">
        <v>42538</v>
      </c>
      <c r="F1503" s="75" t="s">
        <v>154</v>
      </c>
      <c r="G1503" s="72"/>
      <c r="H1503" s="49" t="s">
        <v>154</v>
      </c>
      <c r="I1503" s="49" t="s">
        <v>1497</v>
      </c>
      <c r="J1503" s="76">
        <v>266157.56</v>
      </c>
      <c r="K1503" s="83" t="str">
        <f>IFERROR(IFERROR(VLOOKUP(I1503,'DE-PARA'!B:D,3,0),VLOOKUP(I1503,'DE-PARA'!C:D,2,0)),"NÃO ENCONTRADO")</f>
        <v>Repasses Contrato de Gestão</v>
      </c>
      <c r="L1503" s="50" t="str">
        <f>VLOOKUP(K1503,'Base -Receita-Despesa'!$B:$P,1,FALSE)</f>
        <v>Repasses Contrato de Gestão</v>
      </c>
    </row>
    <row r="1504" spans="1:12" ht="15" customHeight="1" x14ac:dyDescent="0.3">
      <c r="A1504" s="82" t="str">
        <f t="shared" si="46"/>
        <v>2016</v>
      </c>
      <c r="B1504" s="72" t="s">
        <v>249</v>
      </c>
      <c r="C1504" s="73" t="s">
        <v>132</v>
      </c>
      <c r="D1504" s="74" t="str">
        <f t="shared" si="47"/>
        <v>jun/2016</v>
      </c>
      <c r="E1504" s="53">
        <v>42538</v>
      </c>
      <c r="F1504" s="75" t="s">
        <v>1045</v>
      </c>
      <c r="G1504" s="72"/>
      <c r="H1504" s="49" t="s">
        <v>1243</v>
      </c>
      <c r="I1504" s="49" t="s">
        <v>121</v>
      </c>
      <c r="J1504" s="76">
        <v>-266157.56</v>
      </c>
      <c r="K1504" s="83" t="s">
        <v>93</v>
      </c>
      <c r="L1504" s="50" t="str">
        <f>VLOOKUP(K1504,'Base -Receita-Despesa'!$B:$P,1,FALSE)</f>
        <v>Transferências da c/c para c/a ou c/p (-)</v>
      </c>
    </row>
    <row r="1505" spans="1:12" ht="15" customHeight="1" x14ac:dyDescent="0.3">
      <c r="A1505" s="82" t="str">
        <f t="shared" si="46"/>
        <v>2016</v>
      </c>
      <c r="B1505" s="72" t="s">
        <v>131</v>
      </c>
      <c r="C1505" s="73" t="s">
        <v>132</v>
      </c>
      <c r="D1505" s="74" t="str">
        <f t="shared" si="47"/>
        <v>jun/2016</v>
      </c>
      <c r="E1505" s="53">
        <v>42541</v>
      </c>
      <c r="F1505" s="75" t="s">
        <v>764</v>
      </c>
      <c r="G1505" s="72"/>
      <c r="H1505" s="49" t="s">
        <v>187</v>
      </c>
      <c r="I1505" s="49" t="s">
        <v>159</v>
      </c>
      <c r="J1505" s="76">
        <v>-1625.01</v>
      </c>
      <c r="K1505" s="83" t="str">
        <f>IFERROR(IFERROR(VLOOKUP(I1505,'DE-PARA'!B:D,3,0),VLOOKUP(I1505,'DE-PARA'!C:D,2,0)),"NÃO ENCONTRADO")</f>
        <v>Materiais</v>
      </c>
      <c r="L1505" s="50" t="str">
        <f>VLOOKUP(K1505,'Base -Receita-Despesa'!$B:$P,1,FALSE)</f>
        <v>Materiais</v>
      </c>
    </row>
    <row r="1506" spans="1:12" ht="15" customHeight="1" x14ac:dyDescent="0.3">
      <c r="A1506" s="82" t="str">
        <f t="shared" si="46"/>
        <v>2016</v>
      </c>
      <c r="B1506" s="72" t="s">
        <v>131</v>
      </c>
      <c r="C1506" s="73" t="s">
        <v>132</v>
      </c>
      <c r="D1506" s="74" t="str">
        <f t="shared" si="47"/>
        <v>jun/2016</v>
      </c>
      <c r="E1506" s="53">
        <v>42541</v>
      </c>
      <c r="F1506" s="75" t="s">
        <v>1151</v>
      </c>
      <c r="G1506" s="72"/>
      <c r="H1506" s="49" t="s">
        <v>193</v>
      </c>
      <c r="I1506" s="49" t="s">
        <v>194</v>
      </c>
      <c r="J1506" s="76">
        <v>-855.6</v>
      </c>
      <c r="K1506" s="83" t="str">
        <f>IFERROR(IFERROR(VLOOKUP(I1506,'DE-PARA'!B:D,3,0),VLOOKUP(I1506,'DE-PARA'!C:D,2,0)),"NÃO ENCONTRADO")</f>
        <v>Despesas com Viagens</v>
      </c>
      <c r="L1506" s="50" t="str">
        <f>VLOOKUP(K1506,'Base -Receita-Despesa'!$B:$P,1,FALSE)</f>
        <v>Despesas com Viagens</v>
      </c>
    </row>
    <row r="1507" spans="1:12" ht="15" customHeight="1" x14ac:dyDescent="0.3">
      <c r="A1507" s="82" t="str">
        <f t="shared" si="46"/>
        <v>2016</v>
      </c>
      <c r="B1507" s="72" t="s">
        <v>131</v>
      </c>
      <c r="C1507" s="73" t="s">
        <v>132</v>
      </c>
      <c r="D1507" s="74" t="str">
        <f t="shared" si="47"/>
        <v>jun/2016</v>
      </c>
      <c r="E1507" s="53">
        <v>42541</v>
      </c>
      <c r="F1507" s="75" t="s">
        <v>1152</v>
      </c>
      <c r="G1507" s="72"/>
      <c r="H1507" s="49" t="s">
        <v>193</v>
      </c>
      <c r="I1507" s="49" t="s">
        <v>194</v>
      </c>
      <c r="J1507" s="76">
        <v>-469.2</v>
      </c>
      <c r="K1507" s="83" t="str">
        <f>IFERROR(IFERROR(VLOOKUP(I1507,'DE-PARA'!B:D,3,0),VLOOKUP(I1507,'DE-PARA'!C:D,2,0)),"NÃO ENCONTRADO")</f>
        <v>Despesas com Viagens</v>
      </c>
      <c r="L1507" s="50" t="str">
        <f>VLOOKUP(K1507,'Base -Receita-Despesa'!$B:$P,1,FALSE)</f>
        <v>Despesas com Viagens</v>
      </c>
    </row>
    <row r="1508" spans="1:12" ht="15" customHeight="1" x14ac:dyDescent="0.3">
      <c r="A1508" s="82" t="str">
        <f t="shared" si="46"/>
        <v>2016</v>
      </c>
      <c r="B1508" s="72" t="s">
        <v>131</v>
      </c>
      <c r="C1508" s="73" t="s">
        <v>132</v>
      </c>
      <c r="D1508" s="74" t="str">
        <f t="shared" si="47"/>
        <v>jun/2016</v>
      </c>
      <c r="E1508" s="53">
        <v>42541</v>
      </c>
      <c r="F1508" s="75" t="s">
        <v>1153</v>
      </c>
      <c r="G1508" s="72"/>
      <c r="H1508" s="49" t="s">
        <v>1088</v>
      </c>
      <c r="I1508" s="49" t="s">
        <v>150</v>
      </c>
      <c r="J1508" s="76">
        <v>-13963.6</v>
      </c>
      <c r="K1508" s="83" t="str">
        <f>IFERROR(IFERROR(VLOOKUP(I1508,'DE-PARA'!B:D,3,0),VLOOKUP(I1508,'DE-PARA'!C:D,2,0)),"NÃO ENCONTRADO")</f>
        <v>Materiais</v>
      </c>
      <c r="L1508" s="50" t="str">
        <f>VLOOKUP(K1508,'Base -Receita-Despesa'!$B:$P,1,FALSE)</f>
        <v>Materiais</v>
      </c>
    </row>
    <row r="1509" spans="1:12" ht="15" customHeight="1" x14ac:dyDescent="0.3">
      <c r="A1509" s="82" t="str">
        <f t="shared" si="46"/>
        <v>2016</v>
      </c>
      <c r="B1509" s="72" t="s">
        <v>131</v>
      </c>
      <c r="C1509" s="73" t="s">
        <v>132</v>
      </c>
      <c r="D1509" s="74" t="str">
        <f t="shared" si="47"/>
        <v>jun/2016</v>
      </c>
      <c r="E1509" s="53">
        <v>42541</v>
      </c>
      <c r="F1509" s="75" t="s">
        <v>1154</v>
      </c>
      <c r="G1509" s="72"/>
      <c r="H1509" s="49" t="s">
        <v>1088</v>
      </c>
      <c r="I1509" s="49" t="s">
        <v>150</v>
      </c>
      <c r="J1509" s="76">
        <v>-36.369999999999997</v>
      </c>
      <c r="K1509" s="83" t="str">
        <f>IFERROR(IFERROR(VLOOKUP(I1509,'DE-PARA'!B:D,3,0),VLOOKUP(I1509,'DE-PARA'!C:D,2,0)),"NÃO ENCONTRADO")</f>
        <v>Materiais</v>
      </c>
      <c r="L1509" s="50" t="str">
        <f>VLOOKUP(K1509,'Base -Receita-Despesa'!$B:$P,1,FALSE)</f>
        <v>Materiais</v>
      </c>
    </row>
    <row r="1510" spans="1:12" ht="15" customHeight="1" x14ac:dyDescent="0.3">
      <c r="A1510" s="82" t="str">
        <f t="shared" si="46"/>
        <v>2016</v>
      </c>
      <c r="B1510" s="72" t="s">
        <v>131</v>
      </c>
      <c r="C1510" s="73" t="s">
        <v>132</v>
      </c>
      <c r="D1510" s="74" t="str">
        <f t="shared" si="47"/>
        <v>jun/2016</v>
      </c>
      <c r="E1510" s="53">
        <v>42541</v>
      </c>
      <c r="F1510" s="75" t="s">
        <v>1155</v>
      </c>
      <c r="G1510" s="72"/>
      <c r="H1510" s="49" t="s">
        <v>1088</v>
      </c>
      <c r="I1510" s="49" t="s">
        <v>150</v>
      </c>
      <c r="J1510" s="76">
        <v>-232.14</v>
      </c>
      <c r="K1510" s="83" t="str">
        <f>IFERROR(IFERROR(VLOOKUP(I1510,'DE-PARA'!B:D,3,0),VLOOKUP(I1510,'DE-PARA'!C:D,2,0)),"NÃO ENCONTRADO")</f>
        <v>Materiais</v>
      </c>
      <c r="L1510" s="50" t="str">
        <f>VLOOKUP(K1510,'Base -Receita-Despesa'!$B:$P,1,FALSE)</f>
        <v>Materiais</v>
      </c>
    </row>
    <row r="1511" spans="1:12" ht="15" customHeight="1" x14ac:dyDescent="0.3">
      <c r="A1511" s="82" t="str">
        <f t="shared" si="46"/>
        <v>2016</v>
      </c>
      <c r="B1511" s="72" t="s">
        <v>131</v>
      </c>
      <c r="C1511" s="73" t="s">
        <v>132</v>
      </c>
      <c r="D1511" s="74" t="str">
        <f t="shared" si="47"/>
        <v>jun/2016</v>
      </c>
      <c r="E1511" s="53">
        <v>42541</v>
      </c>
      <c r="F1511" s="75" t="s">
        <v>122</v>
      </c>
      <c r="G1511" s="72"/>
      <c r="H1511" s="49" t="s">
        <v>538</v>
      </c>
      <c r="I1511" s="49" t="s">
        <v>124</v>
      </c>
      <c r="J1511" s="76">
        <v>-1555.73</v>
      </c>
      <c r="K1511" s="83" t="str">
        <f>IFERROR(IFERROR(VLOOKUP(I1511,'DE-PARA'!B:D,3,0),VLOOKUP(I1511,'DE-PARA'!C:D,2,0)),"NÃO ENCONTRADO")</f>
        <v>Rescisões Trabalhistas</v>
      </c>
      <c r="L1511" s="50" t="str">
        <f>VLOOKUP(K1511,'Base -Receita-Despesa'!$B:$P,1,FALSE)</f>
        <v>Rescisões Trabalhistas</v>
      </c>
    </row>
    <row r="1512" spans="1:12" ht="15" customHeight="1" x14ac:dyDescent="0.3">
      <c r="A1512" s="82" t="str">
        <f t="shared" si="46"/>
        <v>2016</v>
      </c>
      <c r="B1512" s="72" t="s">
        <v>131</v>
      </c>
      <c r="C1512" s="73" t="s">
        <v>132</v>
      </c>
      <c r="D1512" s="74" t="str">
        <f t="shared" si="47"/>
        <v>jun/2016</v>
      </c>
      <c r="E1512" s="53">
        <v>42541</v>
      </c>
      <c r="F1512" s="75" t="s">
        <v>243</v>
      </c>
      <c r="G1512" s="72"/>
      <c r="H1512" s="49" t="s">
        <v>538</v>
      </c>
      <c r="I1512" s="49" t="s">
        <v>124</v>
      </c>
      <c r="J1512" s="76">
        <v>-5644.65</v>
      </c>
      <c r="K1512" s="83" t="str">
        <f>IFERROR(IFERROR(VLOOKUP(I1512,'DE-PARA'!B:D,3,0),VLOOKUP(I1512,'DE-PARA'!C:D,2,0)),"NÃO ENCONTRADO")</f>
        <v>Rescisões Trabalhistas</v>
      </c>
      <c r="L1512" s="50" t="str">
        <f>VLOOKUP(K1512,'Base -Receita-Despesa'!$B:$P,1,FALSE)</f>
        <v>Rescisões Trabalhistas</v>
      </c>
    </row>
    <row r="1513" spans="1:12" ht="15" customHeight="1" x14ac:dyDescent="0.3">
      <c r="A1513" s="82" t="str">
        <f t="shared" si="46"/>
        <v>2016</v>
      </c>
      <c r="B1513" s="72" t="s">
        <v>131</v>
      </c>
      <c r="C1513" s="73" t="s">
        <v>132</v>
      </c>
      <c r="D1513" s="74" t="str">
        <f t="shared" si="47"/>
        <v>jun/2016</v>
      </c>
      <c r="E1513" s="53">
        <v>42541</v>
      </c>
      <c r="F1513" s="75" t="s">
        <v>199</v>
      </c>
      <c r="G1513" s="72"/>
      <c r="H1513" s="49" t="s">
        <v>1059</v>
      </c>
      <c r="I1513" s="49" t="s">
        <v>192</v>
      </c>
      <c r="J1513" s="76">
        <v>-43.41</v>
      </c>
      <c r="K1513" s="83" t="str">
        <f>IFERROR(IFERROR(VLOOKUP(I1513,'DE-PARA'!B:D,3,0),VLOOKUP(I1513,'DE-PARA'!C:D,2,0)),"NÃO ENCONTRADO")</f>
        <v>Materiais</v>
      </c>
      <c r="L1513" s="50" t="str">
        <f>VLOOKUP(K1513,'Base -Receita-Despesa'!$B:$P,1,FALSE)</f>
        <v>Materiais</v>
      </c>
    </row>
    <row r="1514" spans="1:12" ht="15" customHeight="1" x14ac:dyDescent="0.3">
      <c r="A1514" s="82" t="str">
        <f t="shared" si="46"/>
        <v>2016</v>
      </c>
      <c r="B1514" s="72" t="s">
        <v>131</v>
      </c>
      <c r="C1514" s="73" t="s">
        <v>132</v>
      </c>
      <c r="D1514" s="74" t="str">
        <f t="shared" si="47"/>
        <v>jun/2016</v>
      </c>
      <c r="E1514" s="53">
        <v>42541</v>
      </c>
      <c r="F1514" s="75" t="s">
        <v>594</v>
      </c>
      <c r="G1514" s="72"/>
      <c r="H1514" s="49" t="s">
        <v>594</v>
      </c>
      <c r="I1514" s="49" t="s">
        <v>1048</v>
      </c>
      <c r="J1514" s="76">
        <v>-330000</v>
      </c>
      <c r="K1514" s="83" t="str">
        <f>IFERROR(IFERROR(VLOOKUP(I1514,'DE-PARA'!B:D,3,0),VLOOKUP(I1514,'DE-PARA'!C:D,2,0)),"NÃO ENCONTRADO")</f>
        <v>Saídas Da C/A Por Regates (-)</v>
      </c>
      <c r="L1514" s="50" t="str">
        <f>VLOOKUP(K1514,'Base -Receita-Despesa'!$B:$P,1,FALSE)</f>
        <v>SAÍDAS DA C/A POR REGATES (-)</v>
      </c>
    </row>
    <row r="1515" spans="1:12" ht="15" customHeight="1" x14ac:dyDescent="0.3">
      <c r="A1515" s="82" t="str">
        <f t="shared" si="46"/>
        <v>2016</v>
      </c>
      <c r="B1515" s="72" t="s">
        <v>131</v>
      </c>
      <c r="C1515" s="73" t="s">
        <v>132</v>
      </c>
      <c r="D1515" s="74" t="str">
        <f t="shared" si="47"/>
        <v>jun/2016</v>
      </c>
      <c r="E1515" s="53">
        <v>42541</v>
      </c>
      <c r="F1515" s="75" t="s">
        <v>1045</v>
      </c>
      <c r="G1515" s="72"/>
      <c r="H1515" s="49" t="s">
        <v>1046</v>
      </c>
      <c r="I1515" s="49" t="s">
        <v>121</v>
      </c>
      <c r="J1515" s="76">
        <v>500000</v>
      </c>
      <c r="K1515" s="83" t="s">
        <v>93</v>
      </c>
      <c r="L1515" s="50" t="str">
        <f>VLOOKUP(K1515,'Base -Receita-Despesa'!$B:$P,1,FALSE)</f>
        <v>Transferências da c/c para c/a ou c/p (-)</v>
      </c>
    </row>
    <row r="1516" spans="1:12" ht="15" customHeight="1" x14ac:dyDescent="0.3">
      <c r="A1516" s="82" t="str">
        <f t="shared" si="46"/>
        <v>2016</v>
      </c>
      <c r="B1516" s="72" t="s">
        <v>131</v>
      </c>
      <c r="C1516" s="73" t="s">
        <v>132</v>
      </c>
      <c r="D1516" s="74" t="str">
        <f t="shared" si="47"/>
        <v>jun/2016</v>
      </c>
      <c r="E1516" s="53">
        <v>42541</v>
      </c>
      <c r="F1516" s="75" t="s">
        <v>1156</v>
      </c>
      <c r="G1516" s="72"/>
      <c r="H1516" s="49" t="s">
        <v>977</v>
      </c>
      <c r="I1516" s="49" t="s">
        <v>112</v>
      </c>
      <c r="J1516" s="76">
        <v>-2500</v>
      </c>
      <c r="K1516" s="83" t="str">
        <f>IFERROR(IFERROR(VLOOKUP(I1516,'DE-PARA'!B:D,3,0),VLOOKUP(I1516,'DE-PARA'!C:D,2,0)),"NÃO ENCONTRADO")</f>
        <v>Serviços</v>
      </c>
      <c r="L1516" s="50" t="str">
        <f>VLOOKUP(K1516,'Base -Receita-Despesa'!$B:$P,1,FALSE)</f>
        <v>Serviços</v>
      </c>
    </row>
    <row r="1517" spans="1:12" ht="15" customHeight="1" x14ac:dyDescent="0.3">
      <c r="A1517" s="82" t="str">
        <f t="shared" si="46"/>
        <v>2016</v>
      </c>
      <c r="B1517" s="72" t="s">
        <v>131</v>
      </c>
      <c r="C1517" s="73" t="s">
        <v>132</v>
      </c>
      <c r="D1517" s="74" t="str">
        <f t="shared" si="47"/>
        <v>jun/2016</v>
      </c>
      <c r="E1517" s="53">
        <v>42541</v>
      </c>
      <c r="F1517" s="75" t="s">
        <v>1157</v>
      </c>
      <c r="G1517" s="72"/>
      <c r="H1517" s="49" t="s">
        <v>368</v>
      </c>
      <c r="I1517" s="49" t="s">
        <v>159</v>
      </c>
      <c r="J1517" s="76">
        <v>-18.399999999999999</v>
      </c>
      <c r="K1517" s="83" t="str">
        <f>IFERROR(IFERROR(VLOOKUP(I1517,'DE-PARA'!B:D,3,0),VLOOKUP(I1517,'DE-PARA'!C:D,2,0)),"NÃO ENCONTRADO")</f>
        <v>Materiais</v>
      </c>
      <c r="L1517" s="50" t="str">
        <f>VLOOKUP(K1517,'Base -Receita-Despesa'!$B:$P,1,FALSE)</f>
        <v>Materiais</v>
      </c>
    </row>
    <row r="1518" spans="1:12" ht="15" customHeight="1" x14ac:dyDescent="0.3">
      <c r="A1518" s="82" t="str">
        <f t="shared" si="46"/>
        <v>2016</v>
      </c>
      <c r="B1518" s="72" t="s">
        <v>131</v>
      </c>
      <c r="C1518" s="73" t="s">
        <v>132</v>
      </c>
      <c r="D1518" s="74" t="str">
        <f t="shared" si="47"/>
        <v>jun/2016</v>
      </c>
      <c r="E1518" s="53">
        <v>42541</v>
      </c>
      <c r="F1518" s="75" t="s">
        <v>1158</v>
      </c>
      <c r="G1518" s="72"/>
      <c r="H1518" s="49" t="s">
        <v>198</v>
      </c>
      <c r="I1518" s="49" t="s">
        <v>603</v>
      </c>
      <c r="J1518" s="76">
        <v>-380</v>
      </c>
      <c r="K1518" s="83" t="str">
        <f>IFERROR(IFERROR(VLOOKUP(I1518,'DE-PARA'!B:D,3,0),VLOOKUP(I1518,'DE-PARA'!C:D,2,0)),"NÃO ENCONTRADO")</f>
        <v>Serviços</v>
      </c>
      <c r="L1518" s="50" t="str">
        <f>VLOOKUP(K1518,'Base -Receita-Despesa'!$B:$P,1,FALSE)</f>
        <v>Serviços</v>
      </c>
    </row>
    <row r="1519" spans="1:12" ht="15" customHeight="1" x14ac:dyDescent="0.3">
      <c r="A1519" s="82" t="str">
        <f t="shared" si="46"/>
        <v>2016</v>
      </c>
      <c r="B1519" s="72" t="s">
        <v>131</v>
      </c>
      <c r="C1519" s="73" t="s">
        <v>132</v>
      </c>
      <c r="D1519" s="74" t="str">
        <f t="shared" si="47"/>
        <v>jun/2016</v>
      </c>
      <c r="E1519" s="53">
        <v>42541</v>
      </c>
      <c r="F1519" s="75" t="s">
        <v>1159</v>
      </c>
      <c r="G1519" s="72"/>
      <c r="H1519" s="49" t="s">
        <v>198</v>
      </c>
      <c r="I1519" s="49" t="s">
        <v>603</v>
      </c>
      <c r="J1519" s="76">
        <v>-43810.720000000001</v>
      </c>
      <c r="K1519" s="83" t="str">
        <f>IFERROR(IFERROR(VLOOKUP(I1519,'DE-PARA'!B:D,3,0),VLOOKUP(I1519,'DE-PARA'!C:D,2,0)),"NÃO ENCONTRADO")</f>
        <v>Serviços</v>
      </c>
      <c r="L1519" s="50" t="str">
        <f>VLOOKUP(K1519,'Base -Receita-Despesa'!$B:$P,1,FALSE)</f>
        <v>Serviços</v>
      </c>
    </row>
    <row r="1520" spans="1:12" ht="15" customHeight="1" x14ac:dyDescent="0.3">
      <c r="A1520" s="82" t="str">
        <f t="shared" si="46"/>
        <v>2016</v>
      </c>
      <c r="B1520" s="72" t="s">
        <v>131</v>
      </c>
      <c r="C1520" s="73" t="s">
        <v>132</v>
      </c>
      <c r="D1520" s="74" t="str">
        <f t="shared" si="47"/>
        <v>jun/2016</v>
      </c>
      <c r="E1520" s="53">
        <v>42541</v>
      </c>
      <c r="F1520" s="75" t="s">
        <v>1160</v>
      </c>
      <c r="G1520" s="72"/>
      <c r="H1520" s="49" t="s">
        <v>198</v>
      </c>
      <c r="I1520" s="49" t="s">
        <v>603</v>
      </c>
      <c r="J1520" s="76">
        <v>-1029.5</v>
      </c>
      <c r="K1520" s="83" t="str">
        <f>IFERROR(IFERROR(VLOOKUP(I1520,'DE-PARA'!B:D,3,0),VLOOKUP(I1520,'DE-PARA'!C:D,2,0)),"NÃO ENCONTRADO")</f>
        <v>Serviços</v>
      </c>
      <c r="L1520" s="50" t="str">
        <f>VLOOKUP(K1520,'Base -Receita-Despesa'!$B:$P,1,FALSE)</f>
        <v>Serviços</v>
      </c>
    </row>
    <row r="1521" spans="1:12" ht="15" customHeight="1" x14ac:dyDescent="0.3">
      <c r="A1521" s="82" t="str">
        <f t="shared" si="46"/>
        <v>2016</v>
      </c>
      <c r="B1521" s="72" t="s">
        <v>131</v>
      </c>
      <c r="C1521" s="73" t="s">
        <v>132</v>
      </c>
      <c r="D1521" s="74" t="str">
        <f t="shared" si="47"/>
        <v>jun/2016</v>
      </c>
      <c r="E1521" s="53">
        <v>42541</v>
      </c>
      <c r="F1521" s="75" t="s">
        <v>1161</v>
      </c>
      <c r="G1521" s="72"/>
      <c r="H1521" s="49" t="s">
        <v>161</v>
      </c>
      <c r="I1521" s="49" t="s">
        <v>159</v>
      </c>
      <c r="J1521" s="76">
        <v>-1302.67</v>
      </c>
      <c r="K1521" s="83" t="str">
        <f>IFERROR(IFERROR(VLOOKUP(I1521,'DE-PARA'!B:D,3,0),VLOOKUP(I1521,'DE-PARA'!C:D,2,0)),"NÃO ENCONTRADO")</f>
        <v>Materiais</v>
      </c>
      <c r="L1521" s="50" t="str">
        <f>VLOOKUP(K1521,'Base -Receita-Despesa'!$B:$P,1,FALSE)</f>
        <v>Materiais</v>
      </c>
    </row>
    <row r="1522" spans="1:12" ht="15" customHeight="1" x14ac:dyDescent="0.3">
      <c r="A1522" s="82" t="str">
        <f t="shared" si="46"/>
        <v>2016</v>
      </c>
      <c r="B1522" s="72" t="s">
        <v>131</v>
      </c>
      <c r="C1522" s="73" t="s">
        <v>132</v>
      </c>
      <c r="D1522" s="74" t="str">
        <f t="shared" si="47"/>
        <v>jun/2016</v>
      </c>
      <c r="E1522" s="53">
        <v>42541</v>
      </c>
      <c r="F1522" s="75" t="s">
        <v>1162</v>
      </c>
      <c r="G1522" s="72"/>
      <c r="H1522" s="49" t="s">
        <v>161</v>
      </c>
      <c r="I1522" s="49" t="s">
        <v>159</v>
      </c>
      <c r="J1522" s="76">
        <v>-214.75</v>
      </c>
      <c r="K1522" s="83" t="str">
        <f>IFERROR(IFERROR(VLOOKUP(I1522,'DE-PARA'!B:D,3,0),VLOOKUP(I1522,'DE-PARA'!C:D,2,0)),"NÃO ENCONTRADO")</f>
        <v>Materiais</v>
      </c>
      <c r="L1522" s="50" t="str">
        <f>VLOOKUP(K1522,'Base -Receita-Despesa'!$B:$P,1,FALSE)</f>
        <v>Materiais</v>
      </c>
    </row>
    <row r="1523" spans="1:12" ht="15" customHeight="1" x14ac:dyDescent="0.3">
      <c r="A1523" s="82" t="str">
        <f t="shared" si="46"/>
        <v>2016</v>
      </c>
      <c r="B1523" s="72" t="s">
        <v>131</v>
      </c>
      <c r="C1523" s="73" t="s">
        <v>132</v>
      </c>
      <c r="D1523" s="74" t="str">
        <f t="shared" si="47"/>
        <v>jun/2016</v>
      </c>
      <c r="E1523" s="53">
        <v>42541</v>
      </c>
      <c r="F1523" s="75" t="s">
        <v>1163</v>
      </c>
      <c r="G1523" s="72"/>
      <c r="H1523" s="49" t="s">
        <v>161</v>
      </c>
      <c r="I1523" s="49" t="s">
        <v>159</v>
      </c>
      <c r="J1523" s="76">
        <v>-1905.6</v>
      </c>
      <c r="K1523" s="83" t="str">
        <f>IFERROR(IFERROR(VLOOKUP(I1523,'DE-PARA'!B:D,3,0),VLOOKUP(I1523,'DE-PARA'!C:D,2,0)),"NÃO ENCONTRADO")</f>
        <v>Materiais</v>
      </c>
      <c r="L1523" s="50" t="str">
        <f>VLOOKUP(K1523,'Base -Receita-Despesa'!$B:$P,1,FALSE)</f>
        <v>Materiais</v>
      </c>
    </row>
    <row r="1524" spans="1:12" ht="15" customHeight="1" x14ac:dyDescent="0.3">
      <c r="A1524" s="82" t="str">
        <f t="shared" si="46"/>
        <v>2016</v>
      </c>
      <c r="B1524" s="72" t="s">
        <v>131</v>
      </c>
      <c r="C1524" s="73" t="s">
        <v>132</v>
      </c>
      <c r="D1524" s="74" t="str">
        <f t="shared" si="47"/>
        <v>jun/2016</v>
      </c>
      <c r="E1524" s="53">
        <v>42541</v>
      </c>
      <c r="F1524" s="75" t="s">
        <v>1164</v>
      </c>
      <c r="G1524" s="72"/>
      <c r="H1524" s="49" t="s">
        <v>220</v>
      </c>
      <c r="I1524" s="49" t="s">
        <v>180</v>
      </c>
      <c r="J1524" s="76">
        <v>-20000</v>
      </c>
      <c r="K1524" s="83" t="str">
        <f>IFERROR(IFERROR(VLOOKUP(I1524,'DE-PARA'!B:D,3,0),VLOOKUP(I1524,'DE-PARA'!C:D,2,0)),"NÃO ENCONTRADO")</f>
        <v>Serviços</v>
      </c>
      <c r="L1524" s="50" t="str">
        <f>VLOOKUP(K1524,'Base -Receita-Despesa'!$B:$P,1,FALSE)</f>
        <v>Serviços</v>
      </c>
    </row>
    <row r="1525" spans="1:12" ht="15" customHeight="1" x14ac:dyDescent="0.3">
      <c r="A1525" s="82" t="str">
        <f t="shared" si="46"/>
        <v>2016</v>
      </c>
      <c r="B1525" s="72" t="s">
        <v>131</v>
      </c>
      <c r="C1525" s="73" t="s">
        <v>132</v>
      </c>
      <c r="D1525" s="74" t="str">
        <f t="shared" si="47"/>
        <v>jun/2016</v>
      </c>
      <c r="E1525" s="53">
        <v>42541</v>
      </c>
      <c r="F1525" s="75" t="s">
        <v>1165</v>
      </c>
      <c r="G1525" s="72"/>
      <c r="H1525" s="49" t="s">
        <v>201</v>
      </c>
      <c r="I1525" s="49" t="s">
        <v>110</v>
      </c>
      <c r="J1525" s="76">
        <v>-5162</v>
      </c>
      <c r="K1525" s="83" t="str">
        <f>IFERROR(IFERROR(VLOOKUP(I1525,'DE-PARA'!B:D,3,0),VLOOKUP(I1525,'DE-PARA'!C:D,2,0)),"NÃO ENCONTRADO")</f>
        <v>Serviços</v>
      </c>
      <c r="L1525" s="50" t="str">
        <f>VLOOKUP(K1525,'Base -Receita-Despesa'!$B:$P,1,FALSE)</f>
        <v>Serviços</v>
      </c>
    </row>
    <row r="1526" spans="1:12" ht="15" customHeight="1" x14ac:dyDescent="0.3">
      <c r="A1526" s="82" t="str">
        <f t="shared" si="46"/>
        <v>2016</v>
      </c>
      <c r="B1526" s="72" t="s">
        <v>131</v>
      </c>
      <c r="C1526" s="73" t="s">
        <v>132</v>
      </c>
      <c r="D1526" s="74" t="str">
        <f t="shared" si="47"/>
        <v>jun/2016</v>
      </c>
      <c r="E1526" s="53">
        <v>42541</v>
      </c>
      <c r="F1526" s="75" t="s">
        <v>426</v>
      </c>
      <c r="G1526" s="72"/>
      <c r="H1526" s="49" t="s">
        <v>427</v>
      </c>
      <c r="I1526" s="49" t="s">
        <v>428</v>
      </c>
      <c r="J1526" s="76">
        <v>-880</v>
      </c>
      <c r="K1526" s="83" t="str">
        <f>IFERROR(IFERROR(VLOOKUP(I1526,'DE-PARA'!B:D,3,0),VLOOKUP(I1526,'DE-PARA'!C:D,2,0)),"NÃO ENCONTRADO")</f>
        <v>Aluguéis</v>
      </c>
      <c r="L1526" s="50" t="str">
        <f>VLOOKUP(K1526,'Base -Receita-Despesa'!$B:$P,1,FALSE)</f>
        <v>Aluguéis</v>
      </c>
    </row>
    <row r="1527" spans="1:12" ht="15" customHeight="1" x14ac:dyDescent="0.3">
      <c r="A1527" s="82" t="str">
        <f t="shared" si="46"/>
        <v>2016</v>
      </c>
      <c r="B1527" s="72" t="s">
        <v>131</v>
      </c>
      <c r="C1527" s="73" t="s">
        <v>132</v>
      </c>
      <c r="D1527" s="74" t="str">
        <f t="shared" si="47"/>
        <v>jun/2016</v>
      </c>
      <c r="E1527" s="53">
        <v>42541</v>
      </c>
      <c r="F1527" s="75" t="s">
        <v>1166</v>
      </c>
      <c r="G1527" s="72"/>
      <c r="H1527" s="49" t="s">
        <v>1167</v>
      </c>
      <c r="I1527" s="49" t="s">
        <v>113</v>
      </c>
      <c r="J1527" s="76">
        <v>-88346.06</v>
      </c>
      <c r="K1527" s="83" t="str">
        <f>IFERROR(IFERROR(VLOOKUP(I1527,'DE-PARA'!B:D,3,0),VLOOKUP(I1527,'DE-PARA'!C:D,2,0)),"NÃO ENCONTRADO")</f>
        <v>Serviços</v>
      </c>
      <c r="L1527" s="50" t="str">
        <f>VLOOKUP(K1527,'Base -Receita-Despesa'!$B:$P,1,FALSE)</f>
        <v>Serviços</v>
      </c>
    </row>
    <row r="1528" spans="1:12" ht="15" customHeight="1" x14ac:dyDescent="0.3">
      <c r="A1528" s="82" t="str">
        <f t="shared" si="46"/>
        <v>2016</v>
      </c>
      <c r="B1528" s="72" t="s">
        <v>131</v>
      </c>
      <c r="C1528" s="73" t="s">
        <v>132</v>
      </c>
      <c r="D1528" s="74" t="str">
        <f t="shared" si="47"/>
        <v>jun/2016</v>
      </c>
      <c r="E1528" s="53">
        <v>42541</v>
      </c>
      <c r="F1528" s="75" t="s">
        <v>1168</v>
      </c>
      <c r="G1528" s="72"/>
      <c r="H1528" s="49" t="s">
        <v>1167</v>
      </c>
      <c r="I1528" s="49" t="s">
        <v>113</v>
      </c>
      <c r="J1528" s="76">
        <v>-9373.2199999999993</v>
      </c>
      <c r="K1528" s="83" t="str">
        <f>IFERROR(IFERROR(VLOOKUP(I1528,'DE-PARA'!B:D,3,0),VLOOKUP(I1528,'DE-PARA'!C:D,2,0)),"NÃO ENCONTRADO")</f>
        <v>Serviços</v>
      </c>
      <c r="L1528" s="50" t="str">
        <f>VLOOKUP(K1528,'Base -Receita-Despesa'!$B:$P,1,FALSE)</f>
        <v>Serviços</v>
      </c>
    </row>
    <row r="1529" spans="1:12" ht="15" customHeight="1" x14ac:dyDescent="0.3">
      <c r="A1529" s="82" t="str">
        <f t="shared" si="46"/>
        <v>2016</v>
      </c>
      <c r="B1529" s="72" t="s">
        <v>131</v>
      </c>
      <c r="C1529" s="73" t="s">
        <v>132</v>
      </c>
      <c r="D1529" s="74" t="str">
        <f t="shared" si="47"/>
        <v>jun/2016</v>
      </c>
      <c r="E1529" s="53">
        <v>42541</v>
      </c>
      <c r="F1529" s="75" t="s">
        <v>1169</v>
      </c>
      <c r="G1529" s="72"/>
      <c r="H1529" s="49" t="s">
        <v>1100</v>
      </c>
      <c r="I1529" s="49" t="s">
        <v>150</v>
      </c>
      <c r="J1529" s="76">
        <v>-1632.07</v>
      </c>
      <c r="K1529" s="83" t="str">
        <f>IFERROR(IFERROR(VLOOKUP(I1529,'DE-PARA'!B:D,3,0),VLOOKUP(I1529,'DE-PARA'!C:D,2,0)),"NÃO ENCONTRADO")</f>
        <v>Materiais</v>
      </c>
      <c r="L1529" s="50" t="str">
        <f>VLOOKUP(K1529,'Base -Receita-Despesa'!$B:$P,1,FALSE)</f>
        <v>Materiais</v>
      </c>
    </row>
    <row r="1530" spans="1:12" ht="15" customHeight="1" x14ac:dyDescent="0.3">
      <c r="A1530" s="82" t="str">
        <f t="shared" si="46"/>
        <v>2016</v>
      </c>
      <c r="B1530" s="72" t="s">
        <v>131</v>
      </c>
      <c r="C1530" s="73" t="s">
        <v>132</v>
      </c>
      <c r="D1530" s="74" t="str">
        <f t="shared" si="47"/>
        <v>jun/2016</v>
      </c>
      <c r="E1530" s="53">
        <v>42541</v>
      </c>
      <c r="F1530" s="75" t="s">
        <v>184</v>
      </c>
      <c r="G1530" s="72"/>
      <c r="H1530" s="49" t="s">
        <v>1170</v>
      </c>
      <c r="I1530" s="49" t="s">
        <v>114</v>
      </c>
      <c r="J1530" s="76">
        <v>-5387.8</v>
      </c>
      <c r="K1530" s="83" t="str">
        <f>IFERROR(IFERROR(VLOOKUP(I1530,'DE-PARA'!B:D,3,0),VLOOKUP(I1530,'DE-PARA'!C:D,2,0)),"NÃO ENCONTRADO")</f>
        <v>Serviços</v>
      </c>
      <c r="L1530" s="50" t="str">
        <f>VLOOKUP(K1530,'Base -Receita-Despesa'!$B:$P,1,FALSE)</f>
        <v>Serviços</v>
      </c>
    </row>
    <row r="1531" spans="1:12" ht="15" customHeight="1" x14ac:dyDescent="0.3">
      <c r="A1531" s="82" t="str">
        <f t="shared" si="46"/>
        <v>2016</v>
      </c>
      <c r="B1531" s="72" t="s">
        <v>131</v>
      </c>
      <c r="C1531" s="73" t="s">
        <v>132</v>
      </c>
      <c r="D1531" s="74" t="str">
        <f t="shared" si="47"/>
        <v>jun/2016</v>
      </c>
      <c r="E1531" s="53">
        <v>42541</v>
      </c>
      <c r="F1531" s="75" t="s">
        <v>184</v>
      </c>
      <c r="G1531" s="72"/>
      <c r="H1531" s="49" t="s">
        <v>1171</v>
      </c>
      <c r="I1531" s="49" t="s">
        <v>113</v>
      </c>
      <c r="J1531" s="76">
        <v>-12247.45</v>
      </c>
      <c r="K1531" s="83" t="str">
        <f>IFERROR(IFERROR(VLOOKUP(I1531,'DE-PARA'!B:D,3,0),VLOOKUP(I1531,'DE-PARA'!C:D,2,0)),"NÃO ENCONTRADO")</f>
        <v>Serviços</v>
      </c>
      <c r="L1531" s="50" t="str">
        <f>VLOOKUP(K1531,'Base -Receita-Despesa'!$B:$P,1,FALSE)</f>
        <v>Serviços</v>
      </c>
    </row>
    <row r="1532" spans="1:12" ht="15" customHeight="1" x14ac:dyDescent="0.3">
      <c r="A1532" s="82" t="str">
        <f t="shared" si="46"/>
        <v>2016</v>
      </c>
      <c r="B1532" s="72" t="s">
        <v>131</v>
      </c>
      <c r="C1532" s="73" t="s">
        <v>132</v>
      </c>
      <c r="D1532" s="74" t="str">
        <f t="shared" si="47"/>
        <v>jun/2016</v>
      </c>
      <c r="E1532" s="53">
        <v>42541</v>
      </c>
      <c r="F1532" s="75" t="s">
        <v>184</v>
      </c>
      <c r="G1532" s="72"/>
      <c r="H1532" s="49" t="s">
        <v>1172</v>
      </c>
      <c r="I1532" s="49" t="s">
        <v>173</v>
      </c>
      <c r="J1532" s="76">
        <v>-2501.6799999999998</v>
      </c>
      <c r="K1532" s="83" t="str">
        <f>IFERROR(IFERROR(VLOOKUP(I1532,'DE-PARA'!B:D,3,0),VLOOKUP(I1532,'DE-PARA'!C:D,2,0)),"NÃO ENCONTRADO")</f>
        <v>Serviços</v>
      </c>
      <c r="L1532" s="50" t="str">
        <f>VLOOKUP(K1532,'Base -Receita-Despesa'!$B:$P,1,FALSE)</f>
        <v>Serviços</v>
      </c>
    </row>
    <row r="1533" spans="1:12" ht="15" customHeight="1" x14ac:dyDescent="0.3">
      <c r="A1533" s="82" t="str">
        <f t="shared" si="46"/>
        <v>2016</v>
      </c>
      <c r="B1533" s="72" t="s">
        <v>131</v>
      </c>
      <c r="C1533" s="73" t="s">
        <v>132</v>
      </c>
      <c r="D1533" s="74" t="str">
        <f t="shared" si="47"/>
        <v>jun/2016</v>
      </c>
      <c r="E1533" s="53">
        <v>42541</v>
      </c>
      <c r="F1533" s="75" t="s">
        <v>184</v>
      </c>
      <c r="G1533" s="72"/>
      <c r="H1533" s="49" t="s">
        <v>1173</v>
      </c>
      <c r="I1533" s="49" t="s">
        <v>173</v>
      </c>
      <c r="J1533" s="76">
        <v>-1514.72</v>
      </c>
      <c r="K1533" s="83" t="str">
        <f>IFERROR(IFERROR(VLOOKUP(I1533,'DE-PARA'!B:D,3,0),VLOOKUP(I1533,'DE-PARA'!C:D,2,0)),"NÃO ENCONTRADO")</f>
        <v>Serviços</v>
      </c>
      <c r="L1533" s="50" t="str">
        <f>VLOOKUP(K1533,'Base -Receita-Despesa'!$B:$P,1,FALSE)</f>
        <v>Serviços</v>
      </c>
    </row>
    <row r="1534" spans="1:12" ht="15" customHeight="1" x14ac:dyDescent="0.3">
      <c r="A1534" s="82" t="str">
        <f t="shared" si="46"/>
        <v>2016</v>
      </c>
      <c r="B1534" s="72" t="s">
        <v>131</v>
      </c>
      <c r="C1534" s="73" t="s">
        <v>132</v>
      </c>
      <c r="D1534" s="74" t="str">
        <f t="shared" si="47"/>
        <v>jun/2016</v>
      </c>
      <c r="E1534" s="53">
        <v>42541</v>
      </c>
      <c r="F1534" s="75" t="s">
        <v>184</v>
      </c>
      <c r="G1534" s="72"/>
      <c r="H1534" s="49" t="s">
        <v>1174</v>
      </c>
      <c r="I1534" s="49" t="s">
        <v>171</v>
      </c>
      <c r="J1534" s="76">
        <v>-343.46</v>
      </c>
      <c r="K1534" s="83" t="str">
        <f>IFERROR(IFERROR(VLOOKUP(I1534,'DE-PARA'!B:D,3,0),VLOOKUP(I1534,'DE-PARA'!C:D,2,0)),"NÃO ENCONTRADO")</f>
        <v>Serviços</v>
      </c>
      <c r="L1534" s="50" t="str">
        <f>VLOOKUP(K1534,'Base -Receita-Despesa'!$B:$P,1,FALSE)</f>
        <v>Serviços</v>
      </c>
    </row>
    <row r="1535" spans="1:12" ht="15" customHeight="1" x14ac:dyDescent="0.3">
      <c r="A1535" s="82" t="str">
        <f t="shared" si="46"/>
        <v>2016</v>
      </c>
      <c r="B1535" s="72" t="s">
        <v>131</v>
      </c>
      <c r="C1535" s="73" t="s">
        <v>132</v>
      </c>
      <c r="D1535" s="74" t="str">
        <f t="shared" si="47"/>
        <v>jun/2016</v>
      </c>
      <c r="E1535" s="53">
        <v>42541</v>
      </c>
      <c r="F1535" s="75" t="s">
        <v>184</v>
      </c>
      <c r="G1535" s="72"/>
      <c r="H1535" s="49" t="s">
        <v>1175</v>
      </c>
      <c r="I1535" s="49" t="s">
        <v>171</v>
      </c>
      <c r="J1535" s="76">
        <v>-434.15</v>
      </c>
      <c r="K1535" s="83" t="str">
        <f>IFERROR(IFERROR(VLOOKUP(I1535,'DE-PARA'!B:D,3,0),VLOOKUP(I1535,'DE-PARA'!C:D,2,0)),"NÃO ENCONTRADO")</f>
        <v>Serviços</v>
      </c>
      <c r="L1535" s="50" t="str">
        <f>VLOOKUP(K1535,'Base -Receita-Despesa'!$B:$P,1,FALSE)</f>
        <v>Serviços</v>
      </c>
    </row>
    <row r="1536" spans="1:12" ht="15" customHeight="1" x14ac:dyDescent="0.3">
      <c r="A1536" s="82" t="str">
        <f t="shared" si="46"/>
        <v>2016</v>
      </c>
      <c r="B1536" s="72" t="s">
        <v>131</v>
      </c>
      <c r="C1536" s="73" t="s">
        <v>132</v>
      </c>
      <c r="D1536" s="74" t="str">
        <f t="shared" si="47"/>
        <v>jun/2016</v>
      </c>
      <c r="E1536" s="53">
        <v>42541</v>
      </c>
      <c r="F1536" s="75" t="s">
        <v>184</v>
      </c>
      <c r="G1536" s="72"/>
      <c r="H1536" s="49" t="s">
        <v>1176</v>
      </c>
      <c r="I1536" s="49" t="s">
        <v>171</v>
      </c>
      <c r="J1536" s="76">
        <v>-174.62</v>
      </c>
      <c r="K1536" s="83" t="str">
        <f>IFERROR(IFERROR(VLOOKUP(I1536,'DE-PARA'!B:D,3,0),VLOOKUP(I1536,'DE-PARA'!C:D,2,0)),"NÃO ENCONTRADO")</f>
        <v>Serviços</v>
      </c>
      <c r="L1536" s="50" t="str">
        <f>VLOOKUP(K1536,'Base -Receita-Despesa'!$B:$P,1,FALSE)</f>
        <v>Serviços</v>
      </c>
    </row>
    <row r="1537" spans="1:12" ht="15" customHeight="1" x14ac:dyDescent="0.3">
      <c r="A1537" s="82" t="str">
        <f t="shared" si="46"/>
        <v>2016</v>
      </c>
      <c r="B1537" s="72" t="s">
        <v>131</v>
      </c>
      <c r="C1537" s="73" t="s">
        <v>132</v>
      </c>
      <c r="D1537" s="74" t="str">
        <f t="shared" si="47"/>
        <v>jun/2016</v>
      </c>
      <c r="E1537" s="53">
        <v>42541</v>
      </c>
      <c r="F1537" s="75" t="s">
        <v>184</v>
      </c>
      <c r="G1537" s="72"/>
      <c r="H1537" s="49" t="s">
        <v>1177</v>
      </c>
      <c r="I1537" s="49" t="s">
        <v>186</v>
      </c>
      <c r="J1537" s="76">
        <v>-147000.26999999999</v>
      </c>
      <c r="K1537" s="83" t="str">
        <f>IFERROR(IFERROR(VLOOKUP(I1537,'DE-PARA'!B:D,3,0),VLOOKUP(I1537,'DE-PARA'!C:D,2,0)),"NÃO ENCONTRADO")</f>
        <v>Encargos sobre Folha de Pagamento</v>
      </c>
      <c r="L1537" s="50" t="str">
        <f>VLOOKUP(K1537,'Base -Receita-Despesa'!$B:$P,1,FALSE)</f>
        <v>Encargos sobre Folha de Pagamento</v>
      </c>
    </row>
    <row r="1538" spans="1:12" ht="15" customHeight="1" x14ac:dyDescent="0.3">
      <c r="A1538" s="82" t="str">
        <f t="shared" si="46"/>
        <v>2016</v>
      </c>
      <c r="B1538" s="72" t="s">
        <v>131</v>
      </c>
      <c r="C1538" s="73" t="s">
        <v>132</v>
      </c>
      <c r="D1538" s="74" t="str">
        <f t="shared" si="47"/>
        <v>jun/2016</v>
      </c>
      <c r="E1538" s="53">
        <v>42541</v>
      </c>
      <c r="F1538" s="75" t="s">
        <v>283</v>
      </c>
      <c r="G1538" s="72"/>
      <c r="H1538" s="49" t="s">
        <v>1178</v>
      </c>
      <c r="I1538" s="49" t="s">
        <v>114</v>
      </c>
      <c r="J1538" s="76">
        <v>-489.8</v>
      </c>
      <c r="K1538" s="83" t="str">
        <f>IFERROR(IFERROR(VLOOKUP(I1538,'DE-PARA'!B:D,3,0),VLOOKUP(I1538,'DE-PARA'!C:D,2,0)),"NÃO ENCONTRADO")</f>
        <v>Serviços</v>
      </c>
      <c r="L1538" s="50" t="str">
        <f>VLOOKUP(K1538,'Base -Receita-Despesa'!$B:$P,1,FALSE)</f>
        <v>Serviços</v>
      </c>
    </row>
    <row r="1539" spans="1:12" ht="15" customHeight="1" x14ac:dyDescent="0.3">
      <c r="A1539" s="82" t="str">
        <f t="shared" si="46"/>
        <v>2016</v>
      </c>
      <c r="B1539" s="72" t="s">
        <v>131</v>
      </c>
      <c r="C1539" s="73" t="s">
        <v>132</v>
      </c>
      <c r="D1539" s="74" t="str">
        <f t="shared" si="47"/>
        <v>jun/2016</v>
      </c>
      <c r="E1539" s="53">
        <v>42541</v>
      </c>
      <c r="F1539" s="75" t="s">
        <v>283</v>
      </c>
      <c r="G1539" s="72"/>
      <c r="H1539" s="49" t="s">
        <v>1179</v>
      </c>
      <c r="I1539" s="49" t="s">
        <v>138</v>
      </c>
      <c r="J1539" s="76">
        <v>-75.349999999999994</v>
      </c>
      <c r="K1539" s="83" t="str">
        <f>IFERROR(IFERROR(VLOOKUP(I1539,'DE-PARA'!B:D,3,0),VLOOKUP(I1539,'DE-PARA'!C:D,2,0)),"NÃO ENCONTRADO")</f>
        <v>Serviços</v>
      </c>
      <c r="L1539" s="50" t="str">
        <f>VLOOKUP(K1539,'Base -Receita-Despesa'!$B:$P,1,FALSE)</f>
        <v>Serviços</v>
      </c>
    </row>
    <row r="1540" spans="1:12" ht="15" customHeight="1" x14ac:dyDescent="0.3">
      <c r="A1540" s="82" t="str">
        <f t="shared" ref="A1540:A1603" si="48">IF(K1540="NÃO ENCONTRADO",0,RIGHT(D1540,4))</f>
        <v>2016</v>
      </c>
      <c r="B1540" s="72" t="s">
        <v>131</v>
      </c>
      <c r="C1540" s="73" t="s">
        <v>132</v>
      </c>
      <c r="D1540" s="74" t="str">
        <f t="shared" ref="D1540:D1603" si="49">TEXT(E1540,"mmm/aaaa")</f>
        <v>jun/2016</v>
      </c>
      <c r="E1540" s="53">
        <v>42541</v>
      </c>
      <c r="F1540" s="75" t="s">
        <v>283</v>
      </c>
      <c r="G1540" s="72"/>
      <c r="H1540" s="49" t="s">
        <v>1180</v>
      </c>
      <c r="I1540" s="49" t="s">
        <v>138</v>
      </c>
      <c r="J1540" s="76">
        <v>-75.349999999999994</v>
      </c>
      <c r="K1540" s="83" t="str">
        <f>IFERROR(IFERROR(VLOOKUP(I1540,'DE-PARA'!B:D,3,0),VLOOKUP(I1540,'DE-PARA'!C:D,2,0)),"NÃO ENCONTRADO")</f>
        <v>Serviços</v>
      </c>
      <c r="L1540" s="50" t="str">
        <f>VLOOKUP(K1540,'Base -Receita-Despesa'!$B:$P,1,FALSE)</f>
        <v>Serviços</v>
      </c>
    </row>
    <row r="1541" spans="1:12" ht="15" customHeight="1" x14ac:dyDescent="0.3">
      <c r="A1541" s="82" t="str">
        <f t="shared" si="48"/>
        <v>2016</v>
      </c>
      <c r="B1541" s="72" t="s">
        <v>131</v>
      </c>
      <c r="C1541" s="73" t="s">
        <v>132</v>
      </c>
      <c r="D1541" s="74" t="str">
        <f t="shared" si="49"/>
        <v>jun/2016</v>
      </c>
      <c r="E1541" s="53">
        <v>42541</v>
      </c>
      <c r="F1541" s="75" t="s">
        <v>283</v>
      </c>
      <c r="G1541" s="72"/>
      <c r="H1541" s="49" t="s">
        <v>1181</v>
      </c>
      <c r="I1541" s="49" t="s">
        <v>113</v>
      </c>
      <c r="J1541" s="76">
        <v>-1113.4100000000001</v>
      </c>
      <c r="K1541" s="83" t="str">
        <f>IFERROR(IFERROR(VLOOKUP(I1541,'DE-PARA'!B:D,3,0),VLOOKUP(I1541,'DE-PARA'!C:D,2,0)),"NÃO ENCONTRADO")</f>
        <v>Serviços</v>
      </c>
      <c r="L1541" s="50" t="str">
        <f>VLOOKUP(K1541,'Base -Receita-Despesa'!$B:$P,1,FALSE)</f>
        <v>Serviços</v>
      </c>
    </row>
    <row r="1542" spans="1:12" ht="15" customHeight="1" x14ac:dyDescent="0.3">
      <c r="A1542" s="82" t="str">
        <f t="shared" si="48"/>
        <v>2016</v>
      </c>
      <c r="B1542" s="72" t="s">
        <v>131</v>
      </c>
      <c r="C1542" s="73" t="s">
        <v>132</v>
      </c>
      <c r="D1542" s="74" t="str">
        <f t="shared" si="49"/>
        <v>jun/2016</v>
      </c>
      <c r="E1542" s="53">
        <v>42541</v>
      </c>
      <c r="F1542" s="75" t="s">
        <v>283</v>
      </c>
      <c r="G1542" s="72"/>
      <c r="H1542" s="49" t="s">
        <v>1182</v>
      </c>
      <c r="I1542" s="49" t="s">
        <v>110</v>
      </c>
      <c r="J1542" s="76">
        <v>-61.2</v>
      </c>
      <c r="K1542" s="83" t="str">
        <f>IFERROR(IFERROR(VLOOKUP(I1542,'DE-PARA'!B:D,3,0),VLOOKUP(I1542,'DE-PARA'!C:D,2,0)),"NÃO ENCONTRADO")</f>
        <v>Serviços</v>
      </c>
      <c r="L1542" s="50" t="str">
        <f>VLOOKUP(K1542,'Base -Receita-Despesa'!$B:$P,1,FALSE)</f>
        <v>Serviços</v>
      </c>
    </row>
    <row r="1543" spans="1:12" ht="15" customHeight="1" x14ac:dyDescent="0.3">
      <c r="A1543" s="82" t="str">
        <f t="shared" si="48"/>
        <v>2016</v>
      </c>
      <c r="B1543" s="72" t="s">
        <v>131</v>
      </c>
      <c r="C1543" s="73" t="s">
        <v>132</v>
      </c>
      <c r="D1543" s="74" t="str">
        <f t="shared" si="49"/>
        <v>jun/2016</v>
      </c>
      <c r="E1543" s="53">
        <v>42541</v>
      </c>
      <c r="F1543" s="75" t="s">
        <v>283</v>
      </c>
      <c r="G1543" s="72"/>
      <c r="H1543" s="49" t="s">
        <v>1183</v>
      </c>
      <c r="I1543" s="49" t="s">
        <v>173</v>
      </c>
      <c r="J1543" s="76">
        <v>-227.42</v>
      </c>
      <c r="K1543" s="83" t="str">
        <f>IFERROR(IFERROR(VLOOKUP(I1543,'DE-PARA'!B:D,3,0),VLOOKUP(I1543,'DE-PARA'!C:D,2,0)),"NÃO ENCONTRADO")</f>
        <v>Serviços</v>
      </c>
      <c r="L1543" s="50" t="str">
        <f>VLOOKUP(K1543,'Base -Receita-Despesa'!$B:$P,1,FALSE)</f>
        <v>Serviços</v>
      </c>
    </row>
    <row r="1544" spans="1:12" ht="15" customHeight="1" x14ac:dyDescent="0.3">
      <c r="A1544" s="82" t="str">
        <f t="shared" si="48"/>
        <v>2016</v>
      </c>
      <c r="B1544" s="72" t="s">
        <v>131</v>
      </c>
      <c r="C1544" s="73" t="s">
        <v>132</v>
      </c>
      <c r="D1544" s="74" t="str">
        <f t="shared" si="49"/>
        <v>jun/2016</v>
      </c>
      <c r="E1544" s="53">
        <v>42541</v>
      </c>
      <c r="F1544" s="75" t="s">
        <v>283</v>
      </c>
      <c r="G1544" s="72"/>
      <c r="H1544" s="49" t="s">
        <v>1184</v>
      </c>
      <c r="I1544" s="49" t="s">
        <v>173</v>
      </c>
      <c r="J1544" s="76">
        <v>-137.69999999999999</v>
      </c>
      <c r="K1544" s="83" t="str">
        <f>IFERROR(IFERROR(VLOOKUP(I1544,'DE-PARA'!B:D,3,0),VLOOKUP(I1544,'DE-PARA'!C:D,2,0)),"NÃO ENCONTRADO")</f>
        <v>Serviços</v>
      </c>
      <c r="L1544" s="50" t="str">
        <f>VLOOKUP(K1544,'Base -Receita-Despesa'!$B:$P,1,FALSE)</f>
        <v>Serviços</v>
      </c>
    </row>
    <row r="1545" spans="1:12" ht="15" customHeight="1" x14ac:dyDescent="0.3">
      <c r="A1545" s="82" t="str">
        <f t="shared" si="48"/>
        <v>2016</v>
      </c>
      <c r="B1545" s="72" t="s">
        <v>131</v>
      </c>
      <c r="C1545" s="73" t="s">
        <v>132</v>
      </c>
      <c r="D1545" s="74" t="str">
        <f t="shared" si="49"/>
        <v>jun/2016</v>
      </c>
      <c r="E1545" s="53">
        <v>42541</v>
      </c>
      <c r="F1545" s="75" t="s">
        <v>283</v>
      </c>
      <c r="G1545" s="72"/>
      <c r="H1545" s="49" t="s">
        <v>1185</v>
      </c>
      <c r="I1545" s="49" t="s">
        <v>173</v>
      </c>
      <c r="J1545" s="76">
        <v>-141.86000000000001</v>
      </c>
      <c r="K1545" s="83" t="str">
        <f>IFERROR(IFERROR(VLOOKUP(I1545,'DE-PARA'!B:D,3,0),VLOOKUP(I1545,'DE-PARA'!C:D,2,0)),"NÃO ENCONTRADO")</f>
        <v>Serviços</v>
      </c>
      <c r="L1545" s="50" t="str">
        <f>VLOOKUP(K1545,'Base -Receita-Despesa'!$B:$P,1,FALSE)</f>
        <v>Serviços</v>
      </c>
    </row>
    <row r="1546" spans="1:12" ht="15" customHeight="1" x14ac:dyDescent="0.3">
      <c r="A1546" s="82" t="str">
        <f t="shared" si="48"/>
        <v>2016</v>
      </c>
      <c r="B1546" s="72" t="s">
        <v>131</v>
      </c>
      <c r="C1546" s="73" t="s">
        <v>132</v>
      </c>
      <c r="D1546" s="74" t="str">
        <f t="shared" si="49"/>
        <v>jun/2016</v>
      </c>
      <c r="E1546" s="53">
        <v>42541</v>
      </c>
      <c r="F1546" s="75" t="s">
        <v>283</v>
      </c>
      <c r="G1546" s="72"/>
      <c r="H1546" s="49" t="s">
        <v>1186</v>
      </c>
      <c r="I1546" s="49" t="s">
        <v>171</v>
      </c>
      <c r="J1546" s="76">
        <v>-394.68</v>
      </c>
      <c r="K1546" s="83" t="str">
        <f>IFERROR(IFERROR(VLOOKUP(I1546,'DE-PARA'!B:D,3,0),VLOOKUP(I1546,'DE-PARA'!C:D,2,0)),"NÃO ENCONTRADO")</f>
        <v>Serviços</v>
      </c>
      <c r="L1546" s="50" t="str">
        <f>VLOOKUP(K1546,'Base -Receita-Despesa'!$B:$P,1,FALSE)</f>
        <v>Serviços</v>
      </c>
    </row>
    <row r="1547" spans="1:12" ht="15" customHeight="1" x14ac:dyDescent="0.3">
      <c r="A1547" s="82" t="str">
        <f t="shared" si="48"/>
        <v>2016</v>
      </c>
      <c r="B1547" s="72" t="s">
        <v>131</v>
      </c>
      <c r="C1547" s="73" t="s">
        <v>132</v>
      </c>
      <c r="D1547" s="74" t="str">
        <f t="shared" si="49"/>
        <v>jun/2016</v>
      </c>
      <c r="E1547" s="53">
        <v>42541</v>
      </c>
      <c r="F1547" s="75" t="s">
        <v>283</v>
      </c>
      <c r="G1547" s="72"/>
      <c r="H1547" s="49" t="s">
        <v>1187</v>
      </c>
      <c r="I1547" s="49" t="s">
        <v>171</v>
      </c>
      <c r="J1547" s="76">
        <v>-158.75</v>
      </c>
      <c r="K1547" s="83" t="str">
        <f>IFERROR(IFERROR(VLOOKUP(I1547,'DE-PARA'!B:D,3,0),VLOOKUP(I1547,'DE-PARA'!C:D,2,0)),"NÃO ENCONTRADO")</f>
        <v>Serviços</v>
      </c>
      <c r="L1547" s="50" t="str">
        <f>VLOOKUP(K1547,'Base -Receita-Despesa'!$B:$P,1,FALSE)</f>
        <v>Serviços</v>
      </c>
    </row>
    <row r="1548" spans="1:12" ht="15" customHeight="1" x14ac:dyDescent="0.3">
      <c r="A1548" s="82" t="str">
        <f t="shared" si="48"/>
        <v>2016</v>
      </c>
      <c r="B1548" s="72" t="s">
        <v>131</v>
      </c>
      <c r="C1548" s="73" t="s">
        <v>132</v>
      </c>
      <c r="D1548" s="74" t="str">
        <f t="shared" si="49"/>
        <v>jun/2016</v>
      </c>
      <c r="E1548" s="53">
        <v>42541</v>
      </c>
      <c r="F1548" s="75" t="s">
        <v>283</v>
      </c>
      <c r="G1548" s="72"/>
      <c r="H1548" s="49" t="s">
        <v>1188</v>
      </c>
      <c r="I1548" s="49" t="s">
        <v>191</v>
      </c>
      <c r="J1548" s="76">
        <v>-51</v>
      </c>
      <c r="K1548" s="83" t="str">
        <f>IFERROR(IFERROR(VLOOKUP(I1548,'DE-PARA'!B:D,3,0),VLOOKUP(I1548,'DE-PARA'!C:D,2,0)),"NÃO ENCONTRADO")</f>
        <v>Serviços</v>
      </c>
      <c r="L1548" s="50" t="str">
        <f>VLOOKUP(K1548,'Base -Receita-Despesa'!$B:$P,1,FALSE)</f>
        <v>Serviços</v>
      </c>
    </row>
    <row r="1549" spans="1:12" ht="15" customHeight="1" x14ac:dyDescent="0.3">
      <c r="A1549" s="82" t="str">
        <f t="shared" si="48"/>
        <v>2016</v>
      </c>
      <c r="B1549" s="72" t="s">
        <v>131</v>
      </c>
      <c r="C1549" s="73" t="s">
        <v>132</v>
      </c>
      <c r="D1549" s="74" t="str">
        <f t="shared" si="49"/>
        <v>jun/2016</v>
      </c>
      <c r="E1549" s="53">
        <v>42541</v>
      </c>
      <c r="F1549" s="75" t="s">
        <v>283</v>
      </c>
      <c r="G1549" s="72"/>
      <c r="H1549" s="49" t="s">
        <v>1189</v>
      </c>
      <c r="I1549" s="49" t="s">
        <v>185</v>
      </c>
      <c r="J1549" s="76">
        <v>-1216.93</v>
      </c>
      <c r="K1549" s="83" t="str">
        <f>IFERROR(IFERROR(VLOOKUP(I1549,'DE-PARA'!B:D,3,0),VLOOKUP(I1549,'DE-PARA'!C:D,2,0)),"NÃO ENCONTRADO")</f>
        <v>Encargos sobre Folha de Pagamento</v>
      </c>
      <c r="L1549" s="50" t="str">
        <f>VLOOKUP(K1549,'Base -Receita-Despesa'!$B:$P,1,FALSE)</f>
        <v>Encargos sobre Folha de Pagamento</v>
      </c>
    </row>
    <row r="1550" spans="1:12" ht="15" customHeight="1" x14ac:dyDescent="0.3">
      <c r="A1550" s="82" t="str">
        <f t="shared" si="48"/>
        <v>2016</v>
      </c>
      <c r="B1550" s="72" t="s">
        <v>131</v>
      </c>
      <c r="C1550" s="73" t="s">
        <v>132</v>
      </c>
      <c r="D1550" s="74" t="str">
        <f t="shared" si="49"/>
        <v>jun/2016</v>
      </c>
      <c r="E1550" s="53">
        <v>42541</v>
      </c>
      <c r="F1550" s="75" t="s">
        <v>283</v>
      </c>
      <c r="G1550" s="72"/>
      <c r="H1550" s="49" t="s">
        <v>1190</v>
      </c>
      <c r="I1550" s="49" t="s">
        <v>185</v>
      </c>
      <c r="J1550" s="76">
        <v>-1782.01</v>
      </c>
      <c r="K1550" s="83" t="str">
        <f>IFERROR(IFERROR(VLOOKUP(I1550,'DE-PARA'!B:D,3,0),VLOOKUP(I1550,'DE-PARA'!C:D,2,0)),"NÃO ENCONTRADO")</f>
        <v>Encargos sobre Folha de Pagamento</v>
      </c>
      <c r="L1550" s="50" t="str">
        <f>VLOOKUP(K1550,'Base -Receita-Despesa'!$B:$P,1,FALSE)</f>
        <v>Encargos sobre Folha de Pagamento</v>
      </c>
    </row>
    <row r="1551" spans="1:12" ht="15" customHeight="1" x14ac:dyDescent="0.3">
      <c r="A1551" s="82" t="str">
        <f t="shared" si="48"/>
        <v>2016</v>
      </c>
      <c r="B1551" s="72" t="s">
        <v>131</v>
      </c>
      <c r="C1551" s="73" t="s">
        <v>132</v>
      </c>
      <c r="D1551" s="74" t="str">
        <f t="shared" si="49"/>
        <v>jun/2016</v>
      </c>
      <c r="E1551" s="53">
        <v>42541</v>
      </c>
      <c r="F1551" s="75" t="s">
        <v>283</v>
      </c>
      <c r="G1551" s="72"/>
      <c r="H1551" s="49" t="s">
        <v>1190</v>
      </c>
      <c r="I1551" s="49" t="s">
        <v>185</v>
      </c>
      <c r="J1551" s="76">
        <v>-39381.74</v>
      </c>
      <c r="K1551" s="83" t="str">
        <f>IFERROR(IFERROR(VLOOKUP(I1551,'DE-PARA'!B:D,3,0),VLOOKUP(I1551,'DE-PARA'!C:D,2,0)),"NÃO ENCONTRADO")</f>
        <v>Encargos sobre Folha de Pagamento</v>
      </c>
      <c r="L1551" s="50" t="str">
        <f>VLOOKUP(K1551,'Base -Receita-Despesa'!$B:$P,1,FALSE)</f>
        <v>Encargos sobre Folha de Pagamento</v>
      </c>
    </row>
    <row r="1552" spans="1:12" ht="15" customHeight="1" x14ac:dyDescent="0.3">
      <c r="A1552" s="82" t="str">
        <f t="shared" si="48"/>
        <v>2016</v>
      </c>
      <c r="B1552" s="72" t="s">
        <v>131</v>
      </c>
      <c r="C1552" s="73" t="s">
        <v>132</v>
      </c>
      <c r="D1552" s="74" t="str">
        <f t="shared" si="49"/>
        <v>jun/2016</v>
      </c>
      <c r="E1552" s="53">
        <v>42541</v>
      </c>
      <c r="F1552" s="75" t="s">
        <v>1191</v>
      </c>
      <c r="G1552" s="72"/>
      <c r="H1552" s="49" t="s">
        <v>975</v>
      </c>
      <c r="I1552" s="49" t="s">
        <v>114</v>
      </c>
      <c r="J1552" s="76">
        <v>-38862.99</v>
      </c>
      <c r="K1552" s="83" t="str">
        <f>IFERROR(IFERROR(VLOOKUP(I1552,'DE-PARA'!B:D,3,0),VLOOKUP(I1552,'DE-PARA'!C:D,2,0)),"NÃO ENCONTRADO")</f>
        <v>Serviços</v>
      </c>
      <c r="L1552" s="50" t="str">
        <f>VLOOKUP(K1552,'Base -Receita-Despesa'!$B:$P,1,FALSE)</f>
        <v>Serviços</v>
      </c>
    </row>
    <row r="1553" spans="1:12" ht="15" customHeight="1" x14ac:dyDescent="0.3">
      <c r="A1553" s="82" t="str">
        <f t="shared" si="48"/>
        <v>2016</v>
      </c>
      <c r="B1553" s="72" t="s">
        <v>131</v>
      </c>
      <c r="C1553" s="73" t="s">
        <v>132</v>
      </c>
      <c r="D1553" s="74" t="str">
        <f t="shared" si="49"/>
        <v>jun/2016</v>
      </c>
      <c r="E1553" s="53">
        <v>42541</v>
      </c>
      <c r="F1553" s="75" t="s">
        <v>1192</v>
      </c>
      <c r="G1553" s="72"/>
      <c r="H1553" s="49" t="s">
        <v>1193</v>
      </c>
      <c r="I1553" s="49" t="s">
        <v>110</v>
      </c>
      <c r="J1553" s="76">
        <v>-22300</v>
      </c>
      <c r="K1553" s="83" t="str">
        <f>IFERROR(IFERROR(VLOOKUP(I1553,'DE-PARA'!B:D,3,0),VLOOKUP(I1553,'DE-PARA'!C:D,2,0)),"NÃO ENCONTRADO")</f>
        <v>Serviços</v>
      </c>
      <c r="L1553" s="50" t="str">
        <f>VLOOKUP(K1553,'Base -Receita-Despesa'!$B:$P,1,FALSE)</f>
        <v>Serviços</v>
      </c>
    </row>
    <row r="1554" spans="1:12" ht="15" customHeight="1" x14ac:dyDescent="0.3">
      <c r="A1554" s="82" t="str">
        <f t="shared" si="48"/>
        <v>2016</v>
      </c>
      <c r="B1554" s="72" t="s">
        <v>131</v>
      </c>
      <c r="C1554" s="73" t="s">
        <v>132</v>
      </c>
      <c r="D1554" s="74" t="str">
        <f t="shared" si="49"/>
        <v>jun/2016</v>
      </c>
      <c r="E1554" s="53">
        <v>42541</v>
      </c>
      <c r="F1554" s="75" t="s">
        <v>1194</v>
      </c>
      <c r="G1554" s="72"/>
      <c r="H1554" s="49" t="s">
        <v>503</v>
      </c>
      <c r="I1554" s="49" t="s">
        <v>159</v>
      </c>
      <c r="J1554" s="76">
        <v>-866.67</v>
      </c>
      <c r="K1554" s="83" t="str">
        <f>IFERROR(IFERROR(VLOOKUP(I1554,'DE-PARA'!B:D,3,0),VLOOKUP(I1554,'DE-PARA'!C:D,2,0)),"NÃO ENCONTRADO")</f>
        <v>Materiais</v>
      </c>
      <c r="L1554" s="50" t="str">
        <f>VLOOKUP(K1554,'Base -Receita-Despesa'!$B:$P,1,FALSE)</f>
        <v>Materiais</v>
      </c>
    </row>
    <row r="1555" spans="1:12" ht="15" customHeight="1" x14ac:dyDescent="0.3">
      <c r="A1555" s="82" t="str">
        <f t="shared" si="48"/>
        <v>2016</v>
      </c>
      <c r="B1555" s="72" t="s">
        <v>131</v>
      </c>
      <c r="C1555" s="73" t="s">
        <v>132</v>
      </c>
      <c r="D1555" s="74" t="str">
        <f t="shared" si="49"/>
        <v>jun/2016</v>
      </c>
      <c r="E1555" s="53">
        <v>42541</v>
      </c>
      <c r="F1555" s="75" t="s">
        <v>1195</v>
      </c>
      <c r="G1555" s="72"/>
      <c r="H1555" s="49" t="s">
        <v>503</v>
      </c>
      <c r="I1555" s="49" t="s">
        <v>159</v>
      </c>
      <c r="J1555" s="76">
        <v>-453.4</v>
      </c>
      <c r="K1555" s="83" t="str">
        <f>IFERROR(IFERROR(VLOOKUP(I1555,'DE-PARA'!B:D,3,0),VLOOKUP(I1555,'DE-PARA'!C:D,2,0)),"NÃO ENCONTRADO")</f>
        <v>Materiais</v>
      </c>
      <c r="L1555" s="50" t="str">
        <f>VLOOKUP(K1555,'Base -Receita-Despesa'!$B:$P,1,FALSE)</f>
        <v>Materiais</v>
      </c>
    </row>
    <row r="1556" spans="1:12" ht="15" customHeight="1" x14ac:dyDescent="0.3">
      <c r="A1556" s="82" t="str">
        <f t="shared" si="48"/>
        <v>2016</v>
      </c>
      <c r="B1556" s="72" t="s">
        <v>131</v>
      </c>
      <c r="C1556" s="73" t="s">
        <v>132</v>
      </c>
      <c r="D1556" s="74" t="str">
        <f t="shared" si="49"/>
        <v>jun/2016</v>
      </c>
      <c r="E1556" s="53">
        <v>42541</v>
      </c>
      <c r="F1556" s="75" t="s">
        <v>1196</v>
      </c>
      <c r="G1556" s="72"/>
      <c r="H1556" s="49" t="s">
        <v>503</v>
      </c>
      <c r="I1556" s="49" t="s">
        <v>159</v>
      </c>
      <c r="J1556" s="76">
        <v>-937.72</v>
      </c>
      <c r="K1556" s="83" t="str">
        <f>IFERROR(IFERROR(VLOOKUP(I1556,'DE-PARA'!B:D,3,0),VLOOKUP(I1556,'DE-PARA'!C:D,2,0)),"NÃO ENCONTRADO")</f>
        <v>Materiais</v>
      </c>
      <c r="L1556" s="50" t="str">
        <f>VLOOKUP(K1556,'Base -Receita-Despesa'!$B:$P,1,FALSE)</f>
        <v>Materiais</v>
      </c>
    </row>
    <row r="1557" spans="1:12" ht="15" customHeight="1" x14ac:dyDescent="0.3">
      <c r="A1557" s="82" t="str">
        <f t="shared" si="48"/>
        <v>2016</v>
      </c>
      <c r="B1557" s="72" t="s">
        <v>131</v>
      </c>
      <c r="C1557" s="73" t="s">
        <v>132</v>
      </c>
      <c r="D1557" s="74" t="str">
        <f t="shared" si="49"/>
        <v>jun/2016</v>
      </c>
      <c r="E1557" s="53">
        <v>42541</v>
      </c>
      <c r="F1557" s="75" t="s">
        <v>1197</v>
      </c>
      <c r="G1557" s="72"/>
      <c r="H1557" s="49" t="s">
        <v>1198</v>
      </c>
      <c r="I1557" s="49" t="s">
        <v>114</v>
      </c>
      <c r="J1557" s="76">
        <v>-1897.98</v>
      </c>
      <c r="K1557" s="83" t="str">
        <f>IFERROR(IFERROR(VLOOKUP(I1557,'DE-PARA'!B:D,3,0),VLOOKUP(I1557,'DE-PARA'!C:D,2,0)),"NÃO ENCONTRADO")</f>
        <v>Serviços</v>
      </c>
      <c r="L1557" s="50" t="str">
        <f>VLOOKUP(K1557,'Base -Receita-Despesa'!$B:$P,1,FALSE)</f>
        <v>Serviços</v>
      </c>
    </row>
    <row r="1558" spans="1:12" ht="15" customHeight="1" x14ac:dyDescent="0.3">
      <c r="A1558" s="82" t="str">
        <f t="shared" si="48"/>
        <v>2016</v>
      </c>
      <c r="B1558" s="72" t="s">
        <v>131</v>
      </c>
      <c r="C1558" s="73" t="s">
        <v>132</v>
      </c>
      <c r="D1558" s="74" t="str">
        <f t="shared" si="49"/>
        <v>jun/2016</v>
      </c>
      <c r="E1558" s="53">
        <v>42541</v>
      </c>
      <c r="F1558" s="75" t="s">
        <v>1199</v>
      </c>
      <c r="G1558" s="72"/>
      <c r="H1558" s="49" t="s">
        <v>224</v>
      </c>
      <c r="I1558" s="49" t="s">
        <v>150</v>
      </c>
      <c r="J1558" s="76">
        <v>-675</v>
      </c>
      <c r="K1558" s="83" t="str">
        <f>IFERROR(IFERROR(VLOOKUP(I1558,'DE-PARA'!B:D,3,0),VLOOKUP(I1558,'DE-PARA'!C:D,2,0)),"NÃO ENCONTRADO")</f>
        <v>Materiais</v>
      </c>
      <c r="L1558" s="50" t="str">
        <f>VLOOKUP(K1558,'Base -Receita-Despesa'!$B:$P,1,FALSE)</f>
        <v>Materiais</v>
      </c>
    </row>
    <row r="1559" spans="1:12" ht="15" customHeight="1" x14ac:dyDescent="0.3">
      <c r="A1559" s="82" t="str">
        <f t="shared" si="48"/>
        <v>2016</v>
      </c>
      <c r="B1559" s="72" t="s">
        <v>131</v>
      </c>
      <c r="C1559" s="73" t="s">
        <v>132</v>
      </c>
      <c r="D1559" s="74" t="str">
        <f t="shared" si="49"/>
        <v>jun/2016</v>
      </c>
      <c r="E1559" s="53">
        <v>42541</v>
      </c>
      <c r="F1559" s="75" t="s">
        <v>142</v>
      </c>
      <c r="G1559" s="72"/>
      <c r="H1559" s="49" t="s">
        <v>505</v>
      </c>
      <c r="I1559" s="49" t="s">
        <v>144</v>
      </c>
      <c r="J1559" s="76">
        <v>-2485.6</v>
      </c>
      <c r="K1559" s="83" t="str">
        <f>IFERROR(IFERROR(VLOOKUP(I1559,'DE-PARA'!B:D,3,0),VLOOKUP(I1559,'DE-PARA'!C:D,2,0)),"NÃO ENCONTRADO")</f>
        <v>Concessionárias (água, luz e telefone)</v>
      </c>
      <c r="L1559" s="50" t="str">
        <f>VLOOKUP(K1559,'Base -Receita-Despesa'!$B:$P,1,FALSE)</f>
        <v>Concessionárias (água, luz e telefone)</v>
      </c>
    </row>
    <row r="1560" spans="1:12" ht="15" customHeight="1" x14ac:dyDescent="0.3">
      <c r="A1560" s="82" t="str">
        <f t="shared" si="48"/>
        <v>2016</v>
      </c>
      <c r="B1560" s="72" t="s">
        <v>131</v>
      </c>
      <c r="C1560" s="73" t="s">
        <v>132</v>
      </c>
      <c r="D1560" s="74" t="str">
        <f t="shared" si="49"/>
        <v>jun/2016</v>
      </c>
      <c r="E1560" s="53">
        <v>42541</v>
      </c>
      <c r="F1560" s="75" t="s">
        <v>142</v>
      </c>
      <c r="G1560" s="72"/>
      <c r="H1560" s="49" t="s">
        <v>505</v>
      </c>
      <c r="I1560" s="49" t="s">
        <v>144</v>
      </c>
      <c r="J1560" s="76">
        <v>-1649.88</v>
      </c>
      <c r="K1560" s="83" t="str">
        <f>IFERROR(IFERROR(VLOOKUP(I1560,'DE-PARA'!B:D,3,0),VLOOKUP(I1560,'DE-PARA'!C:D,2,0)),"NÃO ENCONTRADO")</f>
        <v>Concessionárias (água, luz e telefone)</v>
      </c>
      <c r="L1560" s="50" t="str">
        <f>VLOOKUP(K1560,'Base -Receita-Despesa'!$B:$P,1,FALSE)</f>
        <v>Concessionárias (água, luz e telefone)</v>
      </c>
    </row>
    <row r="1561" spans="1:12" ht="15" customHeight="1" x14ac:dyDescent="0.3">
      <c r="A1561" s="82" t="str">
        <f t="shared" si="48"/>
        <v>2016</v>
      </c>
      <c r="B1561" s="72" t="s">
        <v>131</v>
      </c>
      <c r="C1561" s="73" t="s">
        <v>132</v>
      </c>
      <c r="D1561" s="74" t="str">
        <f t="shared" si="49"/>
        <v>jun/2016</v>
      </c>
      <c r="E1561" s="53">
        <v>42541</v>
      </c>
      <c r="F1561" s="75" t="s">
        <v>958</v>
      </c>
      <c r="G1561" s="72"/>
      <c r="H1561" s="49" t="s">
        <v>1200</v>
      </c>
      <c r="I1561" s="49" t="s">
        <v>110</v>
      </c>
      <c r="J1561" s="76">
        <v>-111.6</v>
      </c>
      <c r="K1561" s="83" t="str">
        <f>IFERROR(IFERROR(VLOOKUP(I1561,'DE-PARA'!B:D,3,0),VLOOKUP(I1561,'DE-PARA'!C:D,2,0)),"NÃO ENCONTRADO")</f>
        <v>Serviços</v>
      </c>
      <c r="L1561" s="50" t="str">
        <f>VLOOKUP(K1561,'Base -Receita-Despesa'!$B:$P,1,FALSE)</f>
        <v>Serviços</v>
      </c>
    </row>
    <row r="1562" spans="1:12" ht="15" customHeight="1" x14ac:dyDescent="0.3">
      <c r="A1562" s="82" t="str">
        <f t="shared" si="48"/>
        <v>2016</v>
      </c>
      <c r="B1562" s="72" t="s">
        <v>131</v>
      </c>
      <c r="C1562" s="73" t="s">
        <v>132</v>
      </c>
      <c r="D1562" s="74" t="str">
        <f t="shared" si="49"/>
        <v>jun/2016</v>
      </c>
      <c r="E1562" s="53">
        <v>42541</v>
      </c>
      <c r="F1562" s="75" t="s">
        <v>958</v>
      </c>
      <c r="G1562" s="72"/>
      <c r="H1562" s="49" t="s">
        <v>1201</v>
      </c>
      <c r="I1562" s="49" t="s">
        <v>138</v>
      </c>
      <c r="J1562" s="76">
        <v>-21.35</v>
      </c>
      <c r="K1562" s="83" t="str">
        <f>IFERROR(IFERROR(VLOOKUP(I1562,'DE-PARA'!B:D,3,0),VLOOKUP(I1562,'DE-PARA'!C:D,2,0)),"NÃO ENCONTRADO")</f>
        <v>Serviços</v>
      </c>
      <c r="L1562" s="50" t="str">
        <f>VLOOKUP(K1562,'Base -Receita-Despesa'!$B:$P,1,FALSE)</f>
        <v>Serviços</v>
      </c>
    </row>
    <row r="1563" spans="1:12" ht="15" customHeight="1" x14ac:dyDescent="0.3">
      <c r="A1563" s="82" t="str">
        <f t="shared" si="48"/>
        <v>2016</v>
      </c>
      <c r="B1563" s="72" t="s">
        <v>131</v>
      </c>
      <c r="C1563" s="73" t="s">
        <v>132</v>
      </c>
      <c r="D1563" s="74" t="str">
        <f t="shared" si="49"/>
        <v>jun/2016</v>
      </c>
      <c r="E1563" s="53">
        <v>42541</v>
      </c>
      <c r="F1563" s="75" t="s">
        <v>958</v>
      </c>
      <c r="G1563" s="72"/>
      <c r="H1563" s="49" t="s">
        <v>1202</v>
      </c>
      <c r="I1563" s="49" t="s">
        <v>112</v>
      </c>
      <c r="J1563" s="76">
        <v>-5950.19</v>
      </c>
      <c r="K1563" s="83" t="str">
        <f>IFERROR(IFERROR(VLOOKUP(I1563,'DE-PARA'!B:D,3,0),VLOOKUP(I1563,'DE-PARA'!C:D,2,0)),"NÃO ENCONTRADO")</f>
        <v>Serviços</v>
      </c>
      <c r="L1563" s="50" t="str">
        <f>VLOOKUP(K1563,'Base -Receita-Despesa'!$B:$P,1,FALSE)</f>
        <v>Serviços</v>
      </c>
    </row>
    <row r="1564" spans="1:12" ht="15" customHeight="1" x14ac:dyDescent="0.3">
      <c r="A1564" s="82" t="str">
        <f t="shared" si="48"/>
        <v>2016</v>
      </c>
      <c r="B1564" s="72" t="s">
        <v>131</v>
      </c>
      <c r="C1564" s="73" t="s">
        <v>132</v>
      </c>
      <c r="D1564" s="74" t="str">
        <f t="shared" si="49"/>
        <v>jun/2016</v>
      </c>
      <c r="E1564" s="53">
        <v>42541</v>
      </c>
      <c r="F1564" s="75" t="s">
        <v>958</v>
      </c>
      <c r="G1564" s="72"/>
      <c r="H1564" s="49" t="s">
        <v>1203</v>
      </c>
      <c r="I1564" s="49" t="s">
        <v>191</v>
      </c>
      <c r="J1564" s="76">
        <v>-158.1</v>
      </c>
      <c r="K1564" s="83" t="str">
        <f>IFERROR(IFERROR(VLOOKUP(I1564,'DE-PARA'!B:D,3,0),VLOOKUP(I1564,'DE-PARA'!C:D,2,0)),"NÃO ENCONTRADO")</f>
        <v>Serviços</v>
      </c>
      <c r="L1564" s="50" t="str">
        <f>VLOOKUP(K1564,'Base -Receita-Despesa'!$B:$P,1,FALSE)</f>
        <v>Serviços</v>
      </c>
    </row>
    <row r="1565" spans="1:12" ht="15" customHeight="1" x14ac:dyDescent="0.3">
      <c r="A1565" s="82" t="str">
        <f t="shared" si="48"/>
        <v>2016</v>
      </c>
      <c r="B1565" s="72" t="s">
        <v>131</v>
      </c>
      <c r="C1565" s="73" t="s">
        <v>132</v>
      </c>
      <c r="D1565" s="74" t="str">
        <f t="shared" si="49"/>
        <v>jun/2016</v>
      </c>
      <c r="E1565" s="53">
        <v>42541</v>
      </c>
      <c r="F1565" s="75" t="s">
        <v>1197</v>
      </c>
      <c r="G1565" s="72"/>
      <c r="H1565" s="49" t="s">
        <v>1204</v>
      </c>
      <c r="I1565" s="49" t="s">
        <v>138</v>
      </c>
      <c r="J1565" s="76">
        <v>-233.57</v>
      </c>
      <c r="K1565" s="83" t="str">
        <f>IFERROR(IFERROR(VLOOKUP(I1565,'DE-PARA'!B:D,3,0),VLOOKUP(I1565,'DE-PARA'!C:D,2,0)),"NÃO ENCONTRADO")</f>
        <v>Serviços</v>
      </c>
      <c r="L1565" s="50" t="str">
        <f>VLOOKUP(K1565,'Base -Receita-Despesa'!$B:$P,1,FALSE)</f>
        <v>Serviços</v>
      </c>
    </row>
    <row r="1566" spans="1:12" ht="15" customHeight="1" x14ac:dyDescent="0.3">
      <c r="A1566" s="82" t="str">
        <f t="shared" si="48"/>
        <v>2016</v>
      </c>
      <c r="B1566" s="72" t="s">
        <v>131</v>
      </c>
      <c r="C1566" s="73" t="s">
        <v>132</v>
      </c>
      <c r="D1566" s="74" t="str">
        <f t="shared" si="49"/>
        <v>jun/2016</v>
      </c>
      <c r="E1566" s="53">
        <v>42541</v>
      </c>
      <c r="F1566" s="75" t="s">
        <v>1197</v>
      </c>
      <c r="G1566" s="72"/>
      <c r="H1566" s="49" t="s">
        <v>1205</v>
      </c>
      <c r="I1566" s="49" t="s">
        <v>138</v>
      </c>
      <c r="J1566" s="76">
        <v>-233.57</v>
      </c>
      <c r="K1566" s="83" t="str">
        <f>IFERROR(IFERROR(VLOOKUP(I1566,'DE-PARA'!B:D,3,0),VLOOKUP(I1566,'DE-PARA'!C:D,2,0)),"NÃO ENCONTRADO")</f>
        <v>Serviços</v>
      </c>
      <c r="L1566" s="50" t="str">
        <f>VLOOKUP(K1566,'Base -Receita-Despesa'!$B:$P,1,FALSE)</f>
        <v>Serviços</v>
      </c>
    </row>
    <row r="1567" spans="1:12" ht="15" customHeight="1" x14ac:dyDescent="0.3">
      <c r="A1567" s="82" t="str">
        <f t="shared" si="48"/>
        <v>2016</v>
      </c>
      <c r="B1567" s="72" t="s">
        <v>131</v>
      </c>
      <c r="C1567" s="73" t="s">
        <v>132</v>
      </c>
      <c r="D1567" s="74" t="str">
        <f t="shared" si="49"/>
        <v>jun/2016</v>
      </c>
      <c r="E1567" s="53">
        <v>42541</v>
      </c>
      <c r="F1567" s="75" t="s">
        <v>1197</v>
      </c>
      <c r="G1567" s="72"/>
      <c r="H1567" s="49" t="s">
        <v>1206</v>
      </c>
      <c r="I1567" s="49" t="s">
        <v>113</v>
      </c>
      <c r="J1567" s="76">
        <v>-4626.75</v>
      </c>
      <c r="K1567" s="83" t="str">
        <f>IFERROR(IFERROR(VLOOKUP(I1567,'DE-PARA'!B:D,3,0),VLOOKUP(I1567,'DE-PARA'!C:D,2,0)),"NÃO ENCONTRADO")</f>
        <v>Serviços</v>
      </c>
      <c r="L1567" s="50" t="str">
        <f>VLOOKUP(K1567,'Base -Receita-Despesa'!$B:$P,1,FALSE)</f>
        <v>Serviços</v>
      </c>
    </row>
    <row r="1568" spans="1:12" ht="15" customHeight="1" x14ac:dyDescent="0.3">
      <c r="A1568" s="82" t="str">
        <f t="shared" si="48"/>
        <v>2016</v>
      </c>
      <c r="B1568" s="72" t="s">
        <v>131</v>
      </c>
      <c r="C1568" s="73" t="s">
        <v>132</v>
      </c>
      <c r="D1568" s="74" t="str">
        <f t="shared" si="49"/>
        <v>jun/2016</v>
      </c>
      <c r="E1568" s="53">
        <v>42541</v>
      </c>
      <c r="F1568" s="75" t="s">
        <v>293</v>
      </c>
      <c r="G1568" s="72"/>
      <c r="H1568" s="49" t="s">
        <v>1207</v>
      </c>
      <c r="I1568" s="49" t="s">
        <v>185</v>
      </c>
      <c r="J1568" s="76">
        <v>-4484.41</v>
      </c>
      <c r="K1568" s="83" t="str">
        <f>IFERROR(IFERROR(VLOOKUP(I1568,'DE-PARA'!B:D,3,0),VLOOKUP(I1568,'DE-PARA'!C:D,2,0)),"NÃO ENCONTRADO")</f>
        <v>Encargos sobre Folha de Pagamento</v>
      </c>
      <c r="L1568" s="50" t="str">
        <f>VLOOKUP(K1568,'Base -Receita-Despesa'!$B:$P,1,FALSE)</f>
        <v>Encargos sobre Folha de Pagamento</v>
      </c>
    </row>
    <row r="1569" spans="1:12" ht="15" customHeight="1" x14ac:dyDescent="0.3">
      <c r="A1569" s="82" t="str">
        <f t="shared" si="48"/>
        <v>2016</v>
      </c>
      <c r="B1569" s="72" t="s">
        <v>131</v>
      </c>
      <c r="C1569" s="73" t="s">
        <v>132</v>
      </c>
      <c r="D1569" s="74" t="str">
        <f t="shared" si="49"/>
        <v>jun/2016</v>
      </c>
      <c r="E1569" s="53">
        <v>42541</v>
      </c>
      <c r="F1569" s="75" t="s">
        <v>1197</v>
      </c>
      <c r="G1569" s="72"/>
      <c r="H1569" s="49" t="s">
        <v>1208</v>
      </c>
      <c r="I1569" s="49" t="s">
        <v>173</v>
      </c>
      <c r="J1569" s="76">
        <v>-897.45</v>
      </c>
      <c r="K1569" s="83" t="str">
        <f>IFERROR(IFERROR(VLOOKUP(I1569,'DE-PARA'!B:D,3,0),VLOOKUP(I1569,'DE-PARA'!C:D,2,0)),"NÃO ENCONTRADO")</f>
        <v>Serviços</v>
      </c>
      <c r="L1569" s="50" t="str">
        <f>VLOOKUP(K1569,'Base -Receita-Despesa'!$B:$P,1,FALSE)</f>
        <v>Serviços</v>
      </c>
    </row>
    <row r="1570" spans="1:12" ht="15" customHeight="1" x14ac:dyDescent="0.3">
      <c r="A1570" s="82" t="str">
        <f t="shared" si="48"/>
        <v>2016</v>
      </c>
      <c r="B1570" s="72" t="s">
        <v>131</v>
      </c>
      <c r="C1570" s="73" t="s">
        <v>132</v>
      </c>
      <c r="D1570" s="74" t="str">
        <f t="shared" si="49"/>
        <v>jun/2016</v>
      </c>
      <c r="E1570" s="53">
        <v>42541</v>
      </c>
      <c r="F1570" s="75" t="s">
        <v>1197</v>
      </c>
      <c r="G1570" s="72"/>
      <c r="H1570" s="49" t="s">
        <v>1209</v>
      </c>
      <c r="I1570" s="49" t="s">
        <v>173</v>
      </c>
      <c r="J1570" s="76">
        <v>-659.65</v>
      </c>
      <c r="K1570" s="83" t="str">
        <f>IFERROR(IFERROR(VLOOKUP(I1570,'DE-PARA'!B:D,3,0),VLOOKUP(I1570,'DE-PARA'!C:D,2,0)),"NÃO ENCONTRADO")</f>
        <v>Serviços</v>
      </c>
      <c r="L1570" s="50" t="str">
        <f>VLOOKUP(K1570,'Base -Receita-Despesa'!$B:$P,1,FALSE)</f>
        <v>Serviços</v>
      </c>
    </row>
    <row r="1571" spans="1:12" ht="15" customHeight="1" x14ac:dyDescent="0.3">
      <c r="A1571" s="82" t="str">
        <f t="shared" si="48"/>
        <v>2016</v>
      </c>
      <c r="B1571" s="72" t="s">
        <v>131</v>
      </c>
      <c r="C1571" s="73" t="s">
        <v>132</v>
      </c>
      <c r="D1571" s="74" t="str">
        <f t="shared" si="49"/>
        <v>jun/2016</v>
      </c>
      <c r="E1571" s="53">
        <v>42541</v>
      </c>
      <c r="F1571" s="75" t="s">
        <v>1197</v>
      </c>
      <c r="G1571" s="72"/>
      <c r="H1571" s="49" t="s">
        <v>1210</v>
      </c>
      <c r="I1571" s="49" t="s">
        <v>171</v>
      </c>
      <c r="J1571" s="76">
        <v>-967.93</v>
      </c>
      <c r="K1571" s="83" t="str">
        <f>IFERROR(IFERROR(VLOOKUP(I1571,'DE-PARA'!B:D,3,0),VLOOKUP(I1571,'DE-PARA'!C:D,2,0)),"NÃO ENCONTRADO")</f>
        <v>Serviços</v>
      </c>
      <c r="L1571" s="50" t="str">
        <f>VLOOKUP(K1571,'Base -Receita-Despesa'!$B:$P,1,FALSE)</f>
        <v>Serviços</v>
      </c>
    </row>
    <row r="1572" spans="1:12" ht="15" customHeight="1" x14ac:dyDescent="0.3">
      <c r="A1572" s="82" t="str">
        <f t="shared" si="48"/>
        <v>2016</v>
      </c>
      <c r="B1572" s="72" t="s">
        <v>131</v>
      </c>
      <c r="C1572" s="73" t="s">
        <v>132</v>
      </c>
      <c r="D1572" s="74" t="str">
        <f t="shared" si="49"/>
        <v>jun/2016</v>
      </c>
      <c r="E1572" s="53">
        <v>42541</v>
      </c>
      <c r="F1572" s="75" t="s">
        <v>1197</v>
      </c>
      <c r="G1572" s="72"/>
      <c r="H1572" s="49" t="s">
        <v>1211</v>
      </c>
      <c r="I1572" s="49" t="s">
        <v>171</v>
      </c>
      <c r="J1572" s="76">
        <v>-967.93</v>
      </c>
      <c r="K1572" s="83" t="str">
        <f>IFERROR(IFERROR(VLOOKUP(I1572,'DE-PARA'!B:D,3,0),VLOOKUP(I1572,'DE-PARA'!C:D,2,0)),"NÃO ENCONTRADO")</f>
        <v>Serviços</v>
      </c>
      <c r="L1572" s="50" t="str">
        <f>VLOOKUP(K1572,'Base -Receita-Despesa'!$B:$P,1,FALSE)</f>
        <v>Serviços</v>
      </c>
    </row>
    <row r="1573" spans="1:12" ht="15" customHeight="1" x14ac:dyDescent="0.3">
      <c r="A1573" s="82" t="str">
        <f t="shared" si="48"/>
        <v>2016</v>
      </c>
      <c r="B1573" s="72" t="s">
        <v>131</v>
      </c>
      <c r="C1573" s="73" t="s">
        <v>132</v>
      </c>
      <c r="D1573" s="74" t="str">
        <f t="shared" si="49"/>
        <v>jun/2016</v>
      </c>
      <c r="E1573" s="53">
        <v>42541</v>
      </c>
      <c r="F1573" s="75" t="s">
        <v>949</v>
      </c>
      <c r="G1573" s="72"/>
      <c r="H1573" s="49" t="s">
        <v>1212</v>
      </c>
      <c r="I1573" s="49" t="s">
        <v>171</v>
      </c>
      <c r="J1573" s="76">
        <v>-312.23</v>
      </c>
      <c r="K1573" s="83" t="str">
        <f>IFERROR(IFERROR(VLOOKUP(I1573,'DE-PARA'!B:D,3,0),VLOOKUP(I1573,'DE-PARA'!C:D,2,0)),"NÃO ENCONTRADO")</f>
        <v>Serviços</v>
      </c>
      <c r="L1573" s="50" t="str">
        <f>VLOOKUP(K1573,'Base -Receita-Despesa'!$B:$P,1,FALSE)</f>
        <v>Serviços</v>
      </c>
    </row>
    <row r="1574" spans="1:12" ht="15" customHeight="1" x14ac:dyDescent="0.3">
      <c r="A1574" s="82" t="str">
        <f t="shared" si="48"/>
        <v>2016</v>
      </c>
      <c r="B1574" s="72" t="s">
        <v>131</v>
      </c>
      <c r="C1574" s="73" t="s">
        <v>132</v>
      </c>
      <c r="D1574" s="74" t="str">
        <f t="shared" si="49"/>
        <v>jun/2016</v>
      </c>
      <c r="E1574" s="53">
        <v>42541</v>
      </c>
      <c r="F1574" s="75" t="s">
        <v>1197</v>
      </c>
      <c r="G1574" s="72"/>
      <c r="H1574" s="49" t="s">
        <v>1213</v>
      </c>
      <c r="I1574" s="49" t="s">
        <v>110</v>
      </c>
      <c r="J1574" s="76">
        <v>-49.14</v>
      </c>
      <c r="K1574" s="83" t="str">
        <f>IFERROR(IFERROR(VLOOKUP(I1574,'DE-PARA'!B:D,3,0),VLOOKUP(I1574,'DE-PARA'!C:D,2,0)),"NÃO ENCONTRADO")</f>
        <v>Serviços</v>
      </c>
      <c r="L1574" s="50" t="str">
        <f>VLOOKUP(K1574,'Base -Receita-Despesa'!$B:$P,1,FALSE)</f>
        <v>Serviços</v>
      </c>
    </row>
    <row r="1575" spans="1:12" ht="15" customHeight="1" x14ac:dyDescent="0.3">
      <c r="A1575" s="82" t="str">
        <f t="shared" si="48"/>
        <v>2016</v>
      </c>
      <c r="B1575" s="72" t="s">
        <v>131</v>
      </c>
      <c r="C1575" s="73" t="s">
        <v>132</v>
      </c>
      <c r="D1575" s="74" t="str">
        <f t="shared" si="49"/>
        <v>jun/2016</v>
      </c>
      <c r="E1575" s="53">
        <v>42541</v>
      </c>
      <c r="F1575" s="75" t="s">
        <v>1214</v>
      </c>
      <c r="G1575" s="72"/>
      <c r="H1575" s="49" t="s">
        <v>212</v>
      </c>
      <c r="I1575" s="49" t="s">
        <v>138</v>
      </c>
      <c r="J1575" s="76">
        <v>-4707.62</v>
      </c>
      <c r="K1575" s="83" t="str">
        <f>IFERROR(IFERROR(VLOOKUP(I1575,'DE-PARA'!B:D,3,0),VLOOKUP(I1575,'DE-PARA'!C:D,2,0)),"NÃO ENCONTRADO")</f>
        <v>Serviços</v>
      </c>
      <c r="L1575" s="50" t="str">
        <f>VLOOKUP(K1575,'Base -Receita-Despesa'!$B:$P,1,FALSE)</f>
        <v>Serviços</v>
      </c>
    </row>
    <row r="1576" spans="1:12" ht="15" customHeight="1" x14ac:dyDescent="0.3">
      <c r="A1576" s="82" t="str">
        <f t="shared" si="48"/>
        <v>2016</v>
      </c>
      <c r="B1576" s="72" t="s">
        <v>131</v>
      </c>
      <c r="C1576" s="73" t="s">
        <v>132</v>
      </c>
      <c r="D1576" s="74" t="str">
        <f t="shared" si="49"/>
        <v>jun/2016</v>
      </c>
      <c r="E1576" s="53">
        <v>42541</v>
      </c>
      <c r="F1576" s="75" t="s">
        <v>1054</v>
      </c>
      <c r="G1576" s="72"/>
      <c r="H1576" s="49" t="s">
        <v>1055</v>
      </c>
      <c r="I1576" s="49" t="s">
        <v>1056</v>
      </c>
      <c r="J1576" s="76">
        <v>124300.6</v>
      </c>
      <c r="K1576" s="83" t="str">
        <f>IFERROR(IFERROR(VLOOKUP(I1576,'DE-PARA'!B:D,3,0),VLOOKUP(I1576,'DE-PARA'!C:D,2,0)),"NÃO ENCONTRADO")</f>
        <v>ENTRADA CONTA APLICAÇÃO (+)</v>
      </c>
      <c r="L1576" s="50" t="str">
        <f>VLOOKUP(K1576,'Base -Receita-Despesa'!$B:$P,1,FALSE)</f>
        <v>ENTRADA CONTA APLICAÇÃO (+)</v>
      </c>
    </row>
    <row r="1577" spans="1:12" ht="15" customHeight="1" x14ac:dyDescent="0.3">
      <c r="A1577" s="82" t="str">
        <f t="shared" si="48"/>
        <v>2016</v>
      </c>
      <c r="B1577" s="72" t="s">
        <v>131</v>
      </c>
      <c r="C1577" s="73" t="s">
        <v>132</v>
      </c>
      <c r="D1577" s="74" t="str">
        <f t="shared" si="49"/>
        <v>jun/2016</v>
      </c>
      <c r="E1577" s="53">
        <v>42541</v>
      </c>
      <c r="F1577" s="75" t="s">
        <v>1215</v>
      </c>
      <c r="G1577" s="72"/>
      <c r="H1577" s="49" t="s">
        <v>213</v>
      </c>
      <c r="I1577" s="49" t="s">
        <v>159</v>
      </c>
      <c r="J1577" s="76">
        <v>-1134.48</v>
      </c>
      <c r="K1577" s="83" t="str">
        <f>IFERROR(IFERROR(VLOOKUP(I1577,'DE-PARA'!B:D,3,0),VLOOKUP(I1577,'DE-PARA'!C:D,2,0)),"NÃO ENCONTRADO")</f>
        <v>Materiais</v>
      </c>
      <c r="L1577" s="50" t="str">
        <f>VLOOKUP(K1577,'Base -Receita-Despesa'!$B:$P,1,FALSE)</f>
        <v>Materiais</v>
      </c>
    </row>
    <row r="1578" spans="1:12" ht="15" customHeight="1" x14ac:dyDescent="0.3">
      <c r="A1578" s="82" t="str">
        <f t="shared" si="48"/>
        <v>2016</v>
      </c>
      <c r="B1578" s="72" t="s">
        <v>131</v>
      </c>
      <c r="C1578" s="73" t="s">
        <v>132</v>
      </c>
      <c r="D1578" s="74" t="str">
        <f t="shared" si="49"/>
        <v>jun/2016</v>
      </c>
      <c r="E1578" s="53">
        <v>42541</v>
      </c>
      <c r="F1578" s="75" t="s">
        <v>1216</v>
      </c>
      <c r="G1578" s="72"/>
      <c r="H1578" s="49" t="s">
        <v>213</v>
      </c>
      <c r="I1578" s="49" t="s">
        <v>159</v>
      </c>
      <c r="J1578" s="76">
        <v>-3316.99</v>
      </c>
      <c r="K1578" s="83" t="str">
        <f>IFERROR(IFERROR(VLOOKUP(I1578,'DE-PARA'!B:D,3,0),VLOOKUP(I1578,'DE-PARA'!C:D,2,0)),"NÃO ENCONTRADO")</f>
        <v>Materiais</v>
      </c>
      <c r="L1578" s="50" t="str">
        <f>VLOOKUP(K1578,'Base -Receita-Despesa'!$B:$P,1,FALSE)</f>
        <v>Materiais</v>
      </c>
    </row>
    <row r="1579" spans="1:12" ht="15" customHeight="1" x14ac:dyDescent="0.3">
      <c r="A1579" s="82" t="str">
        <f t="shared" si="48"/>
        <v>2016</v>
      </c>
      <c r="B1579" s="72" t="s">
        <v>131</v>
      </c>
      <c r="C1579" s="73" t="s">
        <v>132</v>
      </c>
      <c r="D1579" s="74" t="str">
        <f t="shared" si="49"/>
        <v>jun/2016</v>
      </c>
      <c r="E1579" s="53">
        <v>42541</v>
      </c>
      <c r="F1579" s="75" t="s">
        <v>1217</v>
      </c>
      <c r="G1579" s="72"/>
      <c r="H1579" s="49" t="s">
        <v>145</v>
      </c>
      <c r="I1579" s="49" t="s">
        <v>144</v>
      </c>
      <c r="J1579" s="76">
        <v>-1699</v>
      </c>
      <c r="K1579" s="83" t="str">
        <f>IFERROR(IFERROR(VLOOKUP(I1579,'DE-PARA'!B:D,3,0),VLOOKUP(I1579,'DE-PARA'!C:D,2,0)),"NÃO ENCONTRADO")</f>
        <v>Concessionárias (água, luz e telefone)</v>
      </c>
      <c r="L1579" s="50" t="str">
        <f>VLOOKUP(K1579,'Base -Receita-Despesa'!$B:$P,1,FALSE)</f>
        <v>Concessionárias (água, luz e telefone)</v>
      </c>
    </row>
    <row r="1580" spans="1:12" ht="15" customHeight="1" x14ac:dyDescent="0.3">
      <c r="A1580" s="82" t="str">
        <f t="shared" si="48"/>
        <v>2016</v>
      </c>
      <c r="B1580" s="72" t="s">
        <v>131</v>
      </c>
      <c r="C1580" s="73" t="s">
        <v>132</v>
      </c>
      <c r="D1580" s="74" t="str">
        <f t="shared" si="49"/>
        <v>jun/2016</v>
      </c>
      <c r="E1580" s="53">
        <v>42541</v>
      </c>
      <c r="F1580" s="75" t="s">
        <v>1164</v>
      </c>
      <c r="G1580" s="72"/>
      <c r="H1580" s="49" t="s">
        <v>170</v>
      </c>
      <c r="I1580" s="49" t="s">
        <v>171</v>
      </c>
      <c r="J1580" s="76">
        <v>-9437.7099999999991</v>
      </c>
      <c r="K1580" s="83" t="str">
        <f>IFERROR(IFERROR(VLOOKUP(I1580,'DE-PARA'!B:D,3,0),VLOOKUP(I1580,'DE-PARA'!C:D,2,0)),"NÃO ENCONTRADO")</f>
        <v>Serviços</v>
      </c>
      <c r="L1580" s="50" t="str">
        <f>VLOOKUP(K1580,'Base -Receita-Despesa'!$B:$P,1,FALSE)</f>
        <v>Serviços</v>
      </c>
    </row>
    <row r="1581" spans="1:12" ht="15" customHeight="1" x14ac:dyDescent="0.3">
      <c r="A1581" s="82" t="str">
        <f t="shared" si="48"/>
        <v>2016</v>
      </c>
      <c r="B1581" s="72" t="s">
        <v>131</v>
      </c>
      <c r="C1581" s="73" t="s">
        <v>132</v>
      </c>
      <c r="D1581" s="74" t="str">
        <f t="shared" si="49"/>
        <v>jun/2016</v>
      </c>
      <c r="E1581" s="53">
        <v>42541</v>
      </c>
      <c r="F1581" s="75" t="s">
        <v>1218</v>
      </c>
      <c r="G1581" s="72"/>
      <c r="H1581" s="49" t="s">
        <v>170</v>
      </c>
      <c r="I1581" s="49" t="s">
        <v>171</v>
      </c>
      <c r="J1581" s="76">
        <v>-23467.66</v>
      </c>
      <c r="K1581" s="83" t="str">
        <f>IFERROR(IFERROR(VLOOKUP(I1581,'DE-PARA'!B:D,3,0),VLOOKUP(I1581,'DE-PARA'!C:D,2,0)),"NÃO ENCONTRADO")</f>
        <v>Serviços</v>
      </c>
      <c r="L1581" s="50" t="str">
        <f>VLOOKUP(K1581,'Base -Receita-Despesa'!$B:$P,1,FALSE)</f>
        <v>Serviços</v>
      </c>
    </row>
    <row r="1582" spans="1:12" ht="15" customHeight="1" x14ac:dyDescent="0.3">
      <c r="A1582" s="82" t="str">
        <f t="shared" si="48"/>
        <v>2016</v>
      </c>
      <c r="B1582" s="72" t="s">
        <v>131</v>
      </c>
      <c r="C1582" s="73" t="s">
        <v>132</v>
      </c>
      <c r="D1582" s="74" t="str">
        <f t="shared" si="49"/>
        <v>jun/2016</v>
      </c>
      <c r="E1582" s="53">
        <v>42541</v>
      </c>
      <c r="F1582" s="75" t="s">
        <v>1219</v>
      </c>
      <c r="G1582" s="72"/>
      <c r="H1582" s="49" t="s">
        <v>216</v>
      </c>
      <c r="I1582" s="49" t="s">
        <v>196</v>
      </c>
      <c r="J1582" s="76">
        <v>-502.31</v>
      </c>
      <c r="K1582" s="83" t="str">
        <f>IFERROR(IFERROR(VLOOKUP(I1582,'DE-PARA'!B:D,3,0),VLOOKUP(I1582,'DE-PARA'!C:D,2,0)),"NÃO ENCONTRADO")</f>
        <v>Materiais</v>
      </c>
      <c r="L1582" s="50" t="str">
        <f>VLOOKUP(K1582,'Base -Receita-Despesa'!$B:$P,1,FALSE)</f>
        <v>Materiais</v>
      </c>
    </row>
    <row r="1583" spans="1:12" ht="15" customHeight="1" x14ac:dyDescent="0.3">
      <c r="A1583" s="82" t="str">
        <f t="shared" si="48"/>
        <v>2016</v>
      </c>
      <c r="B1583" s="72" t="s">
        <v>131</v>
      </c>
      <c r="C1583" s="73" t="s">
        <v>132</v>
      </c>
      <c r="D1583" s="74" t="str">
        <f t="shared" si="49"/>
        <v>jun/2016</v>
      </c>
      <c r="E1583" s="53">
        <v>42541</v>
      </c>
      <c r="F1583" s="75" t="s">
        <v>1220</v>
      </c>
      <c r="G1583" s="72"/>
      <c r="H1583" s="49" t="s">
        <v>229</v>
      </c>
      <c r="I1583" s="49" t="s">
        <v>159</v>
      </c>
      <c r="J1583" s="76">
        <v>-2553.36</v>
      </c>
      <c r="K1583" s="83" t="str">
        <f>IFERROR(IFERROR(VLOOKUP(I1583,'DE-PARA'!B:D,3,0),VLOOKUP(I1583,'DE-PARA'!C:D,2,0)),"NÃO ENCONTRADO")</f>
        <v>Materiais</v>
      </c>
      <c r="L1583" s="50" t="str">
        <f>VLOOKUP(K1583,'Base -Receita-Despesa'!$B:$P,1,FALSE)</f>
        <v>Materiais</v>
      </c>
    </row>
    <row r="1584" spans="1:12" ht="15" customHeight="1" x14ac:dyDescent="0.3">
      <c r="A1584" s="82" t="str">
        <f t="shared" si="48"/>
        <v>2016</v>
      </c>
      <c r="B1584" s="72" t="s">
        <v>131</v>
      </c>
      <c r="C1584" s="73" t="s">
        <v>132</v>
      </c>
      <c r="D1584" s="74" t="str">
        <f t="shared" si="49"/>
        <v>jun/2016</v>
      </c>
      <c r="E1584" s="53">
        <v>42541</v>
      </c>
      <c r="F1584" s="75" t="s">
        <v>1221</v>
      </c>
      <c r="G1584" s="72"/>
      <c r="H1584" s="49" t="s">
        <v>229</v>
      </c>
      <c r="I1584" s="49" t="s">
        <v>159</v>
      </c>
      <c r="J1584" s="76">
        <v>-612.63</v>
      </c>
      <c r="K1584" s="83" t="str">
        <f>IFERROR(IFERROR(VLOOKUP(I1584,'DE-PARA'!B:D,3,0),VLOOKUP(I1584,'DE-PARA'!C:D,2,0)),"NÃO ENCONTRADO")</f>
        <v>Materiais</v>
      </c>
      <c r="L1584" s="50" t="str">
        <f>VLOOKUP(K1584,'Base -Receita-Despesa'!$B:$P,1,FALSE)</f>
        <v>Materiais</v>
      </c>
    </row>
    <row r="1585" spans="1:12" ht="15" customHeight="1" x14ac:dyDescent="0.3">
      <c r="A1585" s="82" t="str">
        <f t="shared" si="48"/>
        <v>2016</v>
      </c>
      <c r="B1585" s="72" t="s">
        <v>131</v>
      </c>
      <c r="C1585" s="73" t="s">
        <v>132</v>
      </c>
      <c r="D1585" s="74" t="str">
        <f t="shared" si="49"/>
        <v>jun/2016</v>
      </c>
      <c r="E1585" s="53">
        <v>42541</v>
      </c>
      <c r="F1585" s="75" t="s">
        <v>1222</v>
      </c>
      <c r="G1585" s="72"/>
      <c r="H1585" s="49" t="s">
        <v>229</v>
      </c>
      <c r="I1585" s="49" t="s">
        <v>159</v>
      </c>
      <c r="J1585" s="76">
        <v>-513.58000000000004</v>
      </c>
      <c r="K1585" s="83" t="str">
        <f>IFERROR(IFERROR(VLOOKUP(I1585,'DE-PARA'!B:D,3,0),VLOOKUP(I1585,'DE-PARA'!C:D,2,0)),"NÃO ENCONTRADO")</f>
        <v>Materiais</v>
      </c>
      <c r="L1585" s="50" t="str">
        <f>VLOOKUP(K1585,'Base -Receita-Despesa'!$B:$P,1,FALSE)</f>
        <v>Materiais</v>
      </c>
    </row>
    <row r="1586" spans="1:12" ht="15" customHeight="1" x14ac:dyDescent="0.3">
      <c r="A1586" s="82" t="str">
        <f t="shared" si="48"/>
        <v>2016</v>
      </c>
      <c r="B1586" s="72" t="s">
        <v>131</v>
      </c>
      <c r="C1586" s="73" t="s">
        <v>132</v>
      </c>
      <c r="D1586" s="74" t="str">
        <f t="shared" si="49"/>
        <v>jun/2016</v>
      </c>
      <c r="E1586" s="53">
        <v>42541</v>
      </c>
      <c r="F1586" s="75" t="s">
        <v>1223</v>
      </c>
      <c r="G1586" s="72"/>
      <c r="H1586" s="49" t="s">
        <v>229</v>
      </c>
      <c r="I1586" s="49" t="s">
        <v>159</v>
      </c>
      <c r="J1586" s="76">
        <v>-1180</v>
      </c>
      <c r="K1586" s="83" t="str">
        <f>IFERROR(IFERROR(VLOOKUP(I1586,'DE-PARA'!B:D,3,0),VLOOKUP(I1586,'DE-PARA'!C:D,2,0)),"NÃO ENCONTRADO")</f>
        <v>Materiais</v>
      </c>
      <c r="L1586" s="50" t="str">
        <f>VLOOKUP(K1586,'Base -Receita-Despesa'!$B:$P,1,FALSE)</f>
        <v>Materiais</v>
      </c>
    </row>
    <row r="1587" spans="1:12" ht="15" customHeight="1" x14ac:dyDescent="0.3">
      <c r="A1587" s="82" t="str">
        <f t="shared" si="48"/>
        <v>2016</v>
      </c>
      <c r="B1587" s="72" t="s">
        <v>131</v>
      </c>
      <c r="C1587" s="73" t="s">
        <v>132</v>
      </c>
      <c r="D1587" s="74" t="str">
        <f t="shared" si="49"/>
        <v>jun/2016</v>
      </c>
      <c r="E1587" s="53">
        <v>42541</v>
      </c>
      <c r="F1587" s="75" t="s">
        <v>1224</v>
      </c>
      <c r="G1587" s="72"/>
      <c r="H1587" s="49" t="s">
        <v>229</v>
      </c>
      <c r="I1587" s="49" t="s">
        <v>159</v>
      </c>
      <c r="J1587" s="76">
        <v>-913.49</v>
      </c>
      <c r="K1587" s="83" t="str">
        <f>IFERROR(IFERROR(VLOOKUP(I1587,'DE-PARA'!B:D,3,0),VLOOKUP(I1587,'DE-PARA'!C:D,2,0)),"NÃO ENCONTRADO")</f>
        <v>Materiais</v>
      </c>
      <c r="L1587" s="50" t="str">
        <f>VLOOKUP(K1587,'Base -Receita-Despesa'!$B:$P,1,FALSE)</f>
        <v>Materiais</v>
      </c>
    </row>
    <row r="1588" spans="1:12" ht="15" customHeight="1" x14ac:dyDescent="0.3">
      <c r="A1588" s="82" t="str">
        <f t="shared" si="48"/>
        <v>2016</v>
      </c>
      <c r="B1588" s="72" t="s">
        <v>131</v>
      </c>
      <c r="C1588" s="73" t="s">
        <v>132</v>
      </c>
      <c r="D1588" s="74" t="str">
        <f t="shared" si="49"/>
        <v>jun/2016</v>
      </c>
      <c r="E1588" s="53">
        <v>42541</v>
      </c>
      <c r="F1588" s="75" t="s">
        <v>1225</v>
      </c>
      <c r="G1588" s="72"/>
      <c r="H1588" s="49" t="s">
        <v>229</v>
      </c>
      <c r="I1588" s="49" t="s">
        <v>159</v>
      </c>
      <c r="J1588" s="76">
        <v>-141.19999999999999</v>
      </c>
      <c r="K1588" s="83" t="str">
        <f>IFERROR(IFERROR(VLOOKUP(I1588,'DE-PARA'!B:D,3,0),VLOOKUP(I1588,'DE-PARA'!C:D,2,0)),"NÃO ENCONTRADO")</f>
        <v>Materiais</v>
      </c>
      <c r="L1588" s="50" t="str">
        <f>VLOOKUP(K1588,'Base -Receita-Despesa'!$B:$P,1,FALSE)</f>
        <v>Materiais</v>
      </c>
    </row>
    <row r="1589" spans="1:12" ht="15" customHeight="1" x14ac:dyDescent="0.3">
      <c r="A1589" s="82" t="str">
        <f t="shared" si="48"/>
        <v>2016</v>
      </c>
      <c r="B1589" s="72" t="s">
        <v>131</v>
      </c>
      <c r="C1589" s="73" t="s">
        <v>132</v>
      </c>
      <c r="D1589" s="74" t="str">
        <f t="shared" si="49"/>
        <v>jun/2016</v>
      </c>
      <c r="E1589" s="53">
        <v>42541</v>
      </c>
      <c r="F1589" s="75" t="s">
        <v>1226</v>
      </c>
      <c r="G1589" s="72"/>
      <c r="H1589" s="49" t="s">
        <v>229</v>
      </c>
      <c r="I1589" s="49" t="s">
        <v>159</v>
      </c>
      <c r="J1589" s="76">
        <v>-1187.72</v>
      </c>
      <c r="K1589" s="83" t="str">
        <f>IFERROR(IFERROR(VLOOKUP(I1589,'DE-PARA'!B:D,3,0),VLOOKUP(I1589,'DE-PARA'!C:D,2,0)),"NÃO ENCONTRADO")</f>
        <v>Materiais</v>
      </c>
      <c r="L1589" s="50" t="str">
        <f>VLOOKUP(K1589,'Base -Receita-Despesa'!$B:$P,1,FALSE)</f>
        <v>Materiais</v>
      </c>
    </row>
    <row r="1590" spans="1:12" ht="15" customHeight="1" x14ac:dyDescent="0.3">
      <c r="A1590" s="82" t="str">
        <f t="shared" si="48"/>
        <v>2016</v>
      </c>
      <c r="B1590" s="72" t="s">
        <v>131</v>
      </c>
      <c r="C1590" s="73" t="s">
        <v>132</v>
      </c>
      <c r="D1590" s="74" t="str">
        <f t="shared" si="49"/>
        <v>jun/2016</v>
      </c>
      <c r="E1590" s="53">
        <v>42541</v>
      </c>
      <c r="F1590" s="75" t="s">
        <v>926</v>
      </c>
      <c r="G1590" s="72"/>
      <c r="H1590" s="49" t="s">
        <v>217</v>
      </c>
      <c r="I1590" s="49" t="s">
        <v>196</v>
      </c>
      <c r="J1590" s="76">
        <v>-196.5</v>
      </c>
      <c r="K1590" s="83" t="str">
        <f>IFERROR(IFERROR(VLOOKUP(I1590,'DE-PARA'!B:D,3,0),VLOOKUP(I1590,'DE-PARA'!C:D,2,0)),"NÃO ENCONTRADO")</f>
        <v>Materiais</v>
      </c>
      <c r="L1590" s="50" t="str">
        <f>VLOOKUP(K1590,'Base -Receita-Despesa'!$B:$P,1,FALSE)</f>
        <v>Materiais</v>
      </c>
    </row>
    <row r="1591" spans="1:12" ht="15" customHeight="1" x14ac:dyDescent="0.3">
      <c r="A1591" s="82" t="str">
        <f t="shared" si="48"/>
        <v>2016</v>
      </c>
      <c r="B1591" s="72" t="s">
        <v>131</v>
      </c>
      <c r="C1591" s="73" t="s">
        <v>132</v>
      </c>
      <c r="D1591" s="74" t="str">
        <f t="shared" si="49"/>
        <v>jun/2016</v>
      </c>
      <c r="E1591" s="53">
        <v>42541</v>
      </c>
      <c r="F1591" s="75" t="s">
        <v>1227</v>
      </c>
      <c r="G1591" s="72"/>
      <c r="H1591" s="49" t="s">
        <v>190</v>
      </c>
      <c r="I1591" s="49" t="s">
        <v>191</v>
      </c>
      <c r="J1591" s="76">
        <v>-3190.9</v>
      </c>
      <c r="K1591" s="83" t="str">
        <f>IFERROR(IFERROR(VLOOKUP(I1591,'DE-PARA'!B:D,3,0),VLOOKUP(I1591,'DE-PARA'!C:D,2,0)),"NÃO ENCONTRADO")</f>
        <v>Serviços</v>
      </c>
      <c r="L1591" s="50" t="str">
        <f>VLOOKUP(K1591,'Base -Receita-Despesa'!$B:$P,1,FALSE)</f>
        <v>Serviços</v>
      </c>
    </row>
    <row r="1592" spans="1:12" ht="15" customHeight="1" x14ac:dyDescent="0.3">
      <c r="A1592" s="82" t="str">
        <f t="shared" si="48"/>
        <v>2016</v>
      </c>
      <c r="B1592" s="72" t="s">
        <v>249</v>
      </c>
      <c r="C1592" s="73" t="s">
        <v>132</v>
      </c>
      <c r="D1592" s="74" t="str">
        <f t="shared" si="49"/>
        <v>jun/2016</v>
      </c>
      <c r="E1592" s="53">
        <v>42541</v>
      </c>
      <c r="F1592" s="75" t="s">
        <v>154</v>
      </c>
      <c r="G1592" s="72"/>
      <c r="H1592" s="49" t="s">
        <v>154</v>
      </c>
      <c r="I1592" s="49" t="s">
        <v>1497</v>
      </c>
      <c r="J1592" s="76">
        <v>187522.93</v>
      </c>
      <c r="K1592" s="83" t="str">
        <f>IFERROR(IFERROR(VLOOKUP(I1592,'DE-PARA'!B:D,3,0),VLOOKUP(I1592,'DE-PARA'!C:D,2,0)),"NÃO ENCONTRADO")</f>
        <v>Repasses Contrato de Gestão</v>
      </c>
      <c r="L1592" s="50" t="str">
        <f>VLOOKUP(K1592,'Base -Receita-Despesa'!$B:$P,1,FALSE)</f>
        <v>Repasses Contrato de Gestão</v>
      </c>
    </row>
    <row r="1593" spans="1:12" ht="15" customHeight="1" x14ac:dyDescent="0.3">
      <c r="A1593" s="82" t="str">
        <f t="shared" si="48"/>
        <v>2016</v>
      </c>
      <c r="B1593" s="72" t="s">
        <v>249</v>
      </c>
      <c r="C1593" s="73" t="s">
        <v>132</v>
      </c>
      <c r="D1593" s="74" t="str">
        <f t="shared" si="49"/>
        <v>jun/2016</v>
      </c>
      <c r="E1593" s="53">
        <v>42541</v>
      </c>
      <c r="F1593" s="75" t="s">
        <v>154</v>
      </c>
      <c r="G1593" s="72"/>
      <c r="H1593" s="49" t="s">
        <v>154</v>
      </c>
      <c r="I1593" s="49" t="s">
        <v>1497</v>
      </c>
      <c r="J1593" s="76">
        <v>15691.88</v>
      </c>
      <c r="K1593" s="83" t="str">
        <f>IFERROR(IFERROR(VLOOKUP(I1593,'DE-PARA'!B:D,3,0),VLOOKUP(I1593,'DE-PARA'!C:D,2,0)),"NÃO ENCONTRADO")</f>
        <v>Repasses Contrato de Gestão</v>
      </c>
      <c r="L1593" s="50" t="str">
        <f>VLOOKUP(K1593,'Base -Receita-Despesa'!$B:$P,1,FALSE)</f>
        <v>Repasses Contrato de Gestão</v>
      </c>
    </row>
    <row r="1594" spans="1:12" ht="15" customHeight="1" x14ac:dyDescent="0.3">
      <c r="A1594" s="82" t="str">
        <f t="shared" si="48"/>
        <v>2016</v>
      </c>
      <c r="B1594" s="72" t="s">
        <v>249</v>
      </c>
      <c r="C1594" s="73" t="s">
        <v>132</v>
      </c>
      <c r="D1594" s="74" t="str">
        <f t="shared" si="49"/>
        <v>jun/2016</v>
      </c>
      <c r="E1594" s="53">
        <v>42541</v>
      </c>
      <c r="F1594" s="75" t="s">
        <v>154</v>
      </c>
      <c r="G1594" s="72"/>
      <c r="H1594" s="49" t="s">
        <v>154</v>
      </c>
      <c r="I1594" s="49" t="s">
        <v>1497</v>
      </c>
      <c r="J1594" s="76">
        <v>350117.18</v>
      </c>
      <c r="K1594" s="83" t="str">
        <f>IFERROR(IFERROR(VLOOKUP(I1594,'DE-PARA'!B:D,3,0),VLOOKUP(I1594,'DE-PARA'!C:D,2,0)),"NÃO ENCONTRADO")</f>
        <v>Repasses Contrato de Gestão</v>
      </c>
      <c r="L1594" s="50" t="str">
        <f>VLOOKUP(K1594,'Base -Receita-Despesa'!$B:$P,1,FALSE)</f>
        <v>Repasses Contrato de Gestão</v>
      </c>
    </row>
    <row r="1595" spans="1:12" ht="15" customHeight="1" x14ac:dyDescent="0.3">
      <c r="A1595" s="82" t="str">
        <f t="shared" si="48"/>
        <v>2016</v>
      </c>
      <c r="B1595" s="72" t="s">
        <v>249</v>
      </c>
      <c r="C1595" s="73" t="s">
        <v>132</v>
      </c>
      <c r="D1595" s="74" t="str">
        <f t="shared" si="49"/>
        <v>jun/2016</v>
      </c>
      <c r="E1595" s="53">
        <v>42541</v>
      </c>
      <c r="F1595" s="75" t="s">
        <v>1045</v>
      </c>
      <c r="G1595" s="72"/>
      <c r="H1595" s="49" t="s">
        <v>1243</v>
      </c>
      <c r="I1595" s="49" t="s">
        <v>121</v>
      </c>
      <c r="J1595" s="76">
        <v>-500000</v>
      </c>
      <c r="K1595" s="83" t="s">
        <v>93</v>
      </c>
      <c r="L1595" s="50" t="str">
        <f>VLOOKUP(K1595,'Base -Receita-Despesa'!$B:$P,1,FALSE)</f>
        <v>Transferências da c/c para c/a ou c/p (-)</v>
      </c>
    </row>
    <row r="1596" spans="1:12" ht="15" customHeight="1" x14ac:dyDescent="0.3">
      <c r="A1596" s="82" t="str">
        <f t="shared" si="48"/>
        <v>2016</v>
      </c>
      <c r="B1596" s="72" t="s">
        <v>131</v>
      </c>
      <c r="C1596" s="73" t="s">
        <v>132</v>
      </c>
      <c r="D1596" s="74" t="str">
        <f t="shared" si="49"/>
        <v>jun/2016</v>
      </c>
      <c r="E1596" s="53">
        <v>42542</v>
      </c>
      <c r="F1596" s="75" t="s">
        <v>594</v>
      </c>
      <c r="G1596" s="72"/>
      <c r="H1596" s="49" t="s">
        <v>594</v>
      </c>
      <c r="I1596" s="49" t="s">
        <v>1048</v>
      </c>
      <c r="J1596" s="76">
        <v>-52000</v>
      </c>
      <c r="K1596" s="83" t="str">
        <f>IFERROR(IFERROR(VLOOKUP(I1596,'DE-PARA'!B:D,3,0),VLOOKUP(I1596,'DE-PARA'!C:D,2,0)),"NÃO ENCONTRADO")</f>
        <v>Saídas Da C/A Por Regates (-)</v>
      </c>
      <c r="L1596" s="50" t="str">
        <f>VLOOKUP(K1596,'Base -Receita-Despesa'!$B:$P,1,FALSE)</f>
        <v>SAÍDAS DA C/A POR REGATES (-)</v>
      </c>
    </row>
    <row r="1597" spans="1:12" ht="15" customHeight="1" x14ac:dyDescent="0.3">
      <c r="A1597" s="82" t="str">
        <f t="shared" si="48"/>
        <v>2016</v>
      </c>
      <c r="B1597" s="72" t="s">
        <v>131</v>
      </c>
      <c r="C1597" s="73" t="s">
        <v>132</v>
      </c>
      <c r="D1597" s="74" t="str">
        <f t="shared" si="49"/>
        <v>jun/2016</v>
      </c>
      <c r="E1597" s="53">
        <v>42542</v>
      </c>
      <c r="F1597" s="75" t="s">
        <v>1045</v>
      </c>
      <c r="G1597" s="72"/>
      <c r="H1597" s="49" t="s">
        <v>1046</v>
      </c>
      <c r="I1597" s="49" t="s">
        <v>121</v>
      </c>
      <c r="J1597" s="76">
        <v>53331.99</v>
      </c>
      <c r="K1597" s="83" t="s">
        <v>93</v>
      </c>
      <c r="L1597" s="50" t="str">
        <f>VLOOKUP(K1597,'Base -Receita-Despesa'!$B:$P,1,FALSE)</f>
        <v>Transferências da c/c para c/a ou c/p (-)</v>
      </c>
    </row>
    <row r="1598" spans="1:12" ht="15" customHeight="1" x14ac:dyDescent="0.3">
      <c r="A1598" s="82" t="str">
        <f t="shared" si="48"/>
        <v>2016</v>
      </c>
      <c r="B1598" s="72" t="s">
        <v>131</v>
      </c>
      <c r="C1598" s="73" t="s">
        <v>132</v>
      </c>
      <c r="D1598" s="74" t="str">
        <f t="shared" si="49"/>
        <v>jun/2016</v>
      </c>
      <c r="E1598" s="53">
        <v>42542</v>
      </c>
      <c r="F1598" s="75" t="s">
        <v>1104</v>
      </c>
      <c r="G1598" s="72"/>
      <c r="H1598" s="49" t="s">
        <v>1105</v>
      </c>
      <c r="I1598" s="49" t="s">
        <v>150</v>
      </c>
      <c r="J1598" s="76">
        <v>-1221.3</v>
      </c>
      <c r="K1598" s="83" t="str">
        <f>IFERROR(IFERROR(VLOOKUP(I1598,'DE-PARA'!B:D,3,0),VLOOKUP(I1598,'DE-PARA'!C:D,2,0)),"NÃO ENCONTRADO")</f>
        <v>Materiais</v>
      </c>
      <c r="L1598" s="50" t="str">
        <f>VLOOKUP(K1598,'Base -Receita-Despesa'!$B:$P,1,FALSE)</f>
        <v>Materiais</v>
      </c>
    </row>
    <row r="1599" spans="1:12" ht="15" customHeight="1" x14ac:dyDescent="0.3">
      <c r="A1599" s="82" t="str">
        <f t="shared" si="48"/>
        <v>2016</v>
      </c>
      <c r="B1599" s="72" t="s">
        <v>249</v>
      </c>
      <c r="C1599" s="73" t="s">
        <v>132</v>
      </c>
      <c r="D1599" s="74" t="str">
        <f t="shared" si="49"/>
        <v>jun/2016</v>
      </c>
      <c r="E1599" s="53">
        <v>42542</v>
      </c>
      <c r="F1599" s="75" t="s">
        <v>1045</v>
      </c>
      <c r="G1599" s="72"/>
      <c r="H1599" s="49" t="s">
        <v>1243</v>
      </c>
      <c r="I1599" s="49" t="s">
        <v>121</v>
      </c>
      <c r="J1599" s="76">
        <v>-53331.99</v>
      </c>
      <c r="K1599" s="83" t="s">
        <v>93</v>
      </c>
      <c r="L1599" s="50" t="str">
        <f>VLOOKUP(K1599,'Base -Receita-Despesa'!$B:$P,1,FALSE)</f>
        <v>Transferências da c/c para c/a ou c/p (-)</v>
      </c>
    </row>
    <row r="1600" spans="1:12" ht="15" customHeight="1" x14ac:dyDescent="0.3">
      <c r="A1600" s="82" t="str">
        <f t="shared" si="48"/>
        <v>2016</v>
      </c>
      <c r="B1600" s="72" t="s">
        <v>131</v>
      </c>
      <c r="C1600" s="73" t="s">
        <v>132</v>
      </c>
      <c r="D1600" s="74" t="str">
        <f t="shared" si="49"/>
        <v>jun/2016</v>
      </c>
      <c r="E1600" s="53">
        <v>42543</v>
      </c>
      <c r="F1600" s="75" t="s">
        <v>981</v>
      </c>
      <c r="G1600" s="72"/>
      <c r="H1600" s="49" t="s">
        <v>1228</v>
      </c>
      <c r="I1600" s="49" t="s">
        <v>204</v>
      </c>
      <c r="J1600" s="76">
        <v>4.58</v>
      </c>
      <c r="K1600" s="83" t="str">
        <f>IFERROR(IFERROR(VLOOKUP(I1600,'DE-PARA'!B:D,3,0),VLOOKUP(I1600,'DE-PARA'!C:D,2,0)),"NÃO ENCONTRADO")</f>
        <v>Serviços</v>
      </c>
      <c r="L1600" s="50" t="str">
        <f>VLOOKUP(K1600,'Base -Receita-Despesa'!$B:$P,1,FALSE)</f>
        <v>Serviços</v>
      </c>
    </row>
    <row r="1601" spans="1:12" ht="15" customHeight="1" x14ac:dyDescent="0.3">
      <c r="A1601" s="82" t="str">
        <f t="shared" si="48"/>
        <v>2016</v>
      </c>
      <c r="B1601" s="72" t="s">
        <v>131</v>
      </c>
      <c r="C1601" s="73" t="s">
        <v>132</v>
      </c>
      <c r="D1601" s="74" t="str">
        <f t="shared" si="49"/>
        <v>jun/2016</v>
      </c>
      <c r="E1601" s="53">
        <v>42543</v>
      </c>
      <c r="F1601" s="75" t="s">
        <v>1166</v>
      </c>
      <c r="G1601" s="72"/>
      <c r="H1601" s="49" t="s">
        <v>1167</v>
      </c>
      <c r="I1601" s="49" t="s">
        <v>113</v>
      </c>
      <c r="J1601" s="76">
        <v>-2.64</v>
      </c>
      <c r="K1601" s="83" t="str">
        <f>IFERROR(IFERROR(VLOOKUP(I1601,'DE-PARA'!B:D,3,0),VLOOKUP(I1601,'DE-PARA'!C:D,2,0)),"NÃO ENCONTRADO")</f>
        <v>Serviços</v>
      </c>
      <c r="L1601" s="50" t="str">
        <f>VLOOKUP(K1601,'Base -Receita-Despesa'!$B:$P,1,FALSE)</f>
        <v>Serviços</v>
      </c>
    </row>
    <row r="1602" spans="1:12" ht="15" customHeight="1" x14ac:dyDescent="0.3">
      <c r="A1602" s="82" t="str">
        <f t="shared" si="48"/>
        <v>2016</v>
      </c>
      <c r="B1602" s="72" t="s">
        <v>131</v>
      </c>
      <c r="C1602" s="73" t="s">
        <v>132</v>
      </c>
      <c r="D1602" s="74" t="str">
        <f t="shared" si="49"/>
        <v>jun/2016</v>
      </c>
      <c r="E1602" s="53">
        <v>42543</v>
      </c>
      <c r="F1602" s="75" t="s">
        <v>1168</v>
      </c>
      <c r="G1602" s="72"/>
      <c r="H1602" s="49" t="s">
        <v>1167</v>
      </c>
      <c r="I1602" s="49" t="s">
        <v>113</v>
      </c>
      <c r="J1602" s="76">
        <v>-22.2</v>
      </c>
      <c r="K1602" s="83" t="str">
        <f>IFERROR(IFERROR(VLOOKUP(I1602,'DE-PARA'!B:D,3,0),VLOOKUP(I1602,'DE-PARA'!C:D,2,0)),"NÃO ENCONTRADO")</f>
        <v>Serviços</v>
      </c>
      <c r="L1602" s="50" t="str">
        <f>VLOOKUP(K1602,'Base -Receita-Despesa'!$B:$P,1,FALSE)</f>
        <v>Serviços</v>
      </c>
    </row>
    <row r="1603" spans="1:12" ht="15" customHeight="1" x14ac:dyDescent="0.3">
      <c r="A1603" s="82" t="str">
        <f t="shared" si="48"/>
        <v>2016</v>
      </c>
      <c r="B1603" s="72" t="s">
        <v>131</v>
      </c>
      <c r="C1603" s="73" t="s">
        <v>132</v>
      </c>
      <c r="D1603" s="74" t="str">
        <f t="shared" si="49"/>
        <v>jun/2016</v>
      </c>
      <c r="E1603" s="53">
        <v>42543</v>
      </c>
      <c r="F1603" s="75" t="s">
        <v>1229</v>
      </c>
      <c r="G1603" s="72"/>
      <c r="H1603" s="49" t="s">
        <v>1230</v>
      </c>
      <c r="I1603" s="49" t="s">
        <v>830</v>
      </c>
      <c r="J1603" s="76">
        <v>-600</v>
      </c>
      <c r="K1603" s="83" t="str">
        <f>IFERROR(IFERROR(VLOOKUP(I1603,'DE-PARA'!B:D,3,0),VLOOKUP(I1603,'DE-PARA'!C:D,2,0)),"NÃO ENCONTRADO")</f>
        <v>Pessoal</v>
      </c>
      <c r="L1603" s="50" t="str">
        <f>VLOOKUP(K1603,'Base -Receita-Despesa'!$B:$P,1,FALSE)</f>
        <v>Pessoal</v>
      </c>
    </row>
    <row r="1604" spans="1:12" ht="15" customHeight="1" x14ac:dyDescent="0.3">
      <c r="A1604" s="82" t="str">
        <f t="shared" ref="A1604:A1667" si="50">IF(K1604="NÃO ENCONTRADO",0,RIGHT(D1604,4))</f>
        <v>2016</v>
      </c>
      <c r="B1604" s="72" t="s">
        <v>131</v>
      </c>
      <c r="C1604" s="73" t="s">
        <v>132</v>
      </c>
      <c r="D1604" s="74" t="str">
        <f t="shared" ref="D1604:D1667" si="51">TEXT(E1604,"mmm/aaaa")</f>
        <v>jun/2016</v>
      </c>
      <c r="E1604" s="53">
        <v>42543</v>
      </c>
      <c r="F1604" s="75" t="s">
        <v>1054</v>
      </c>
      <c r="G1604" s="72"/>
      <c r="H1604" s="49" t="s">
        <v>1055</v>
      </c>
      <c r="I1604" s="49" t="s">
        <v>1056</v>
      </c>
      <c r="J1604" s="76">
        <v>509.57</v>
      </c>
      <c r="K1604" s="83" t="str">
        <f>IFERROR(IFERROR(VLOOKUP(I1604,'DE-PARA'!B:D,3,0),VLOOKUP(I1604,'DE-PARA'!C:D,2,0)),"NÃO ENCONTRADO")</f>
        <v>ENTRADA CONTA APLICAÇÃO (+)</v>
      </c>
      <c r="L1604" s="50" t="str">
        <f>VLOOKUP(K1604,'Base -Receita-Despesa'!$B:$P,1,FALSE)</f>
        <v>ENTRADA CONTA APLICAÇÃO (+)</v>
      </c>
    </row>
    <row r="1605" spans="1:12" ht="15" customHeight="1" x14ac:dyDescent="0.3">
      <c r="A1605" s="82" t="str">
        <f t="shared" si="50"/>
        <v>2016</v>
      </c>
      <c r="B1605" s="72" t="s">
        <v>131</v>
      </c>
      <c r="C1605" s="73" t="s">
        <v>132</v>
      </c>
      <c r="D1605" s="74" t="str">
        <f t="shared" si="51"/>
        <v>jun/2016</v>
      </c>
      <c r="E1605" s="53">
        <v>42544</v>
      </c>
      <c r="F1605" s="75" t="s">
        <v>1008</v>
      </c>
      <c r="G1605" s="72"/>
      <c r="H1605" s="49" t="s">
        <v>414</v>
      </c>
      <c r="I1605" s="49" t="s">
        <v>159</v>
      </c>
      <c r="J1605" s="76">
        <v>-523.25</v>
      </c>
      <c r="K1605" s="83" t="str">
        <f>IFERROR(IFERROR(VLOOKUP(I1605,'DE-PARA'!B:D,3,0),VLOOKUP(I1605,'DE-PARA'!C:D,2,0)),"NÃO ENCONTRADO")</f>
        <v>Materiais</v>
      </c>
      <c r="L1605" s="50" t="str">
        <f>VLOOKUP(K1605,'Base -Receita-Despesa'!$B:$P,1,FALSE)</f>
        <v>Materiais</v>
      </c>
    </row>
    <row r="1606" spans="1:12" ht="15" customHeight="1" x14ac:dyDescent="0.3">
      <c r="A1606" s="82" t="str">
        <f t="shared" si="50"/>
        <v>2016</v>
      </c>
      <c r="B1606" s="72" t="s">
        <v>131</v>
      </c>
      <c r="C1606" s="73" t="s">
        <v>132</v>
      </c>
      <c r="D1606" s="74" t="str">
        <f t="shared" si="51"/>
        <v>jun/2016</v>
      </c>
      <c r="E1606" s="53">
        <v>42544</v>
      </c>
      <c r="F1606" s="75" t="s">
        <v>1045</v>
      </c>
      <c r="G1606" s="72"/>
      <c r="H1606" s="49" t="s">
        <v>1231</v>
      </c>
      <c r="I1606" s="49" t="s">
        <v>185</v>
      </c>
      <c r="J1606" s="76">
        <v>3810.83</v>
      </c>
      <c r="K1606" s="83" t="str">
        <f>IFERROR(IFERROR(VLOOKUP(I1606,'DE-PARA'!B:D,3,0),VLOOKUP(I1606,'DE-PARA'!C:D,2,0)),"NÃO ENCONTRADO")</f>
        <v>Encargos sobre Folha de Pagamento</v>
      </c>
      <c r="L1606" s="50" t="str">
        <f>VLOOKUP(K1606,'Base -Receita-Despesa'!$B:$P,1,FALSE)</f>
        <v>Encargos sobre Folha de Pagamento</v>
      </c>
    </row>
    <row r="1607" spans="1:12" ht="15" customHeight="1" x14ac:dyDescent="0.3">
      <c r="A1607" s="82" t="str">
        <f t="shared" si="50"/>
        <v>2016</v>
      </c>
      <c r="B1607" s="72" t="s">
        <v>131</v>
      </c>
      <c r="C1607" s="73" t="s">
        <v>132</v>
      </c>
      <c r="D1607" s="74" t="str">
        <f t="shared" si="51"/>
        <v>jun/2016</v>
      </c>
      <c r="E1607" s="53">
        <v>42545</v>
      </c>
      <c r="F1607" s="75" t="s">
        <v>1232</v>
      </c>
      <c r="G1607" s="72"/>
      <c r="H1607" s="49" t="s">
        <v>282</v>
      </c>
      <c r="I1607" s="49" t="s">
        <v>110</v>
      </c>
      <c r="J1607" s="76">
        <v>-801.97</v>
      </c>
      <c r="K1607" s="83" t="str">
        <f>IFERROR(IFERROR(VLOOKUP(I1607,'DE-PARA'!B:D,3,0),VLOOKUP(I1607,'DE-PARA'!C:D,2,0)),"NÃO ENCONTRADO")</f>
        <v>Serviços</v>
      </c>
      <c r="L1607" s="50" t="str">
        <f>VLOOKUP(K1607,'Base -Receita-Despesa'!$B:$P,1,FALSE)</f>
        <v>Serviços</v>
      </c>
    </row>
    <row r="1608" spans="1:12" ht="15" customHeight="1" x14ac:dyDescent="0.3">
      <c r="A1608" s="82" t="str">
        <f t="shared" si="50"/>
        <v>2016</v>
      </c>
      <c r="B1608" s="72" t="s">
        <v>131</v>
      </c>
      <c r="C1608" s="73" t="s">
        <v>132</v>
      </c>
      <c r="D1608" s="74" t="str">
        <f t="shared" si="51"/>
        <v>jun/2016</v>
      </c>
      <c r="E1608" s="53">
        <v>42545</v>
      </c>
      <c r="F1608" s="75" t="s">
        <v>1233</v>
      </c>
      <c r="G1608" s="72"/>
      <c r="H1608" s="49" t="s">
        <v>183</v>
      </c>
      <c r="I1608" s="49" t="s">
        <v>159</v>
      </c>
      <c r="J1608" s="76">
        <v>-696.03</v>
      </c>
      <c r="K1608" s="83" t="str">
        <f>IFERROR(IFERROR(VLOOKUP(I1608,'DE-PARA'!B:D,3,0),VLOOKUP(I1608,'DE-PARA'!C:D,2,0)),"NÃO ENCONTRADO")</f>
        <v>Materiais</v>
      </c>
      <c r="L1608" s="50" t="str">
        <f>VLOOKUP(K1608,'Base -Receita-Despesa'!$B:$P,1,FALSE)</f>
        <v>Materiais</v>
      </c>
    </row>
    <row r="1609" spans="1:12" ht="15" customHeight="1" x14ac:dyDescent="0.3">
      <c r="A1609" s="82" t="str">
        <f t="shared" si="50"/>
        <v>2016</v>
      </c>
      <c r="B1609" s="72" t="s">
        <v>131</v>
      </c>
      <c r="C1609" s="73" t="s">
        <v>132</v>
      </c>
      <c r="D1609" s="74" t="str">
        <f t="shared" si="51"/>
        <v>jun/2016</v>
      </c>
      <c r="E1609" s="53">
        <v>42545</v>
      </c>
      <c r="F1609" s="75" t="s">
        <v>1234</v>
      </c>
      <c r="G1609" s="72"/>
      <c r="H1609" s="49" t="s">
        <v>182</v>
      </c>
      <c r="I1609" s="49" t="s">
        <v>138</v>
      </c>
      <c r="J1609" s="76">
        <v>-4714.08</v>
      </c>
      <c r="K1609" s="83" t="str">
        <f>IFERROR(IFERROR(VLOOKUP(I1609,'DE-PARA'!B:D,3,0),VLOOKUP(I1609,'DE-PARA'!C:D,2,0)),"NÃO ENCONTRADO")</f>
        <v>Serviços</v>
      </c>
      <c r="L1609" s="50" t="str">
        <f>VLOOKUP(K1609,'Base -Receita-Despesa'!$B:$P,1,FALSE)</f>
        <v>Serviços</v>
      </c>
    </row>
    <row r="1610" spans="1:12" ht="15" customHeight="1" x14ac:dyDescent="0.3">
      <c r="A1610" s="82" t="str">
        <f t="shared" si="50"/>
        <v>2016</v>
      </c>
      <c r="B1610" s="72" t="s">
        <v>131</v>
      </c>
      <c r="C1610" s="73" t="s">
        <v>132</v>
      </c>
      <c r="D1610" s="74" t="str">
        <f t="shared" si="51"/>
        <v>jun/2016</v>
      </c>
      <c r="E1610" s="53">
        <v>42545</v>
      </c>
      <c r="F1610" s="75" t="s">
        <v>1054</v>
      </c>
      <c r="G1610" s="72"/>
      <c r="H1610" s="49" t="s">
        <v>1055</v>
      </c>
      <c r="I1610" s="49" t="s">
        <v>1056</v>
      </c>
      <c r="J1610" s="76">
        <v>2924.5</v>
      </c>
      <c r="K1610" s="83" t="str">
        <f>IFERROR(IFERROR(VLOOKUP(I1610,'DE-PARA'!B:D,3,0),VLOOKUP(I1610,'DE-PARA'!C:D,2,0)),"NÃO ENCONTRADO")</f>
        <v>ENTRADA CONTA APLICAÇÃO (+)</v>
      </c>
      <c r="L1610" s="50" t="str">
        <f>VLOOKUP(K1610,'Base -Receita-Despesa'!$B:$P,1,FALSE)</f>
        <v>ENTRADA CONTA APLICAÇÃO (+)</v>
      </c>
    </row>
    <row r="1611" spans="1:12" ht="15" customHeight="1" x14ac:dyDescent="0.3">
      <c r="A1611" s="82" t="str">
        <f t="shared" si="50"/>
        <v>2016</v>
      </c>
      <c r="B1611" s="72" t="s">
        <v>131</v>
      </c>
      <c r="C1611" s="73" t="s">
        <v>132</v>
      </c>
      <c r="D1611" s="74" t="str">
        <f t="shared" si="51"/>
        <v>jun/2016</v>
      </c>
      <c r="E1611" s="53">
        <v>42548</v>
      </c>
      <c r="F1611" s="75" t="s">
        <v>252</v>
      </c>
      <c r="G1611" s="72"/>
      <c r="H1611" s="49" t="s">
        <v>1084</v>
      </c>
      <c r="I1611" s="49" t="s">
        <v>168</v>
      </c>
      <c r="J1611" s="76">
        <v>3258.16</v>
      </c>
      <c r="K1611" s="83" t="str">
        <f>IFERROR(IFERROR(VLOOKUP(I1611,'DE-PARA'!B:D,3,0),VLOOKUP(I1611,'DE-PARA'!C:D,2,0)),"NÃO ENCONTRADO")</f>
        <v>Pessoal</v>
      </c>
      <c r="L1611" s="50" t="str">
        <f>VLOOKUP(K1611,'Base -Receita-Despesa'!$B:$P,1,FALSE)</f>
        <v>Pessoal</v>
      </c>
    </row>
    <row r="1612" spans="1:12" ht="15" customHeight="1" x14ac:dyDescent="0.3">
      <c r="A1612" s="82" t="str">
        <f t="shared" si="50"/>
        <v>2016</v>
      </c>
      <c r="B1612" s="72" t="s">
        <v>131</v>
      </c>
      <c r="C1612" s="73" t="s">
        <v>132</v>
      </c>
      <c r="D1612" s="74" t="str">
        <f t="shared" si="51"/>
        <v>jun/2016</v>
      </c>
      <c r="E1612" s="53">
        <v>42548</v>
      </c>
      <c r="F1612" s="75" t="s">
        <v>1235</v>
      </c>
      <c r="G1612" s="72"/>
      <c r="H1612" s="49" t="s">
        <v>282</v>
      </c>
      <c r="I1612" s="49" t="s">
        <v>110</v>
      </c>
      <c r="J1612" s="76">
        <v>-675.26</v>
      </c>
      <c r="K1612" s="83" t="str">
        <f>IFERROR(IFERROR(VLOOKUP(I1612,'DE-PARA'!B:D,3,0),VLOOKUP(I1612,'DE-PARA'!C:D,2,0)),"NÃO ENCONTRADO")</f>
        <v>Serviços</v>
      </c>
      <c r="L1612" s="50" t="str">
        <f>VLOOKUP(K1612,'Base -Receita-Despesa'!$B:$P,1,FALSE)</f>
        <v>Serviços</v>
      </c>
    </row>
    <row r="1613" spans="1:12" ht="15" customHeight="1" x14ac:dyDescent="0.3">
      <c r="A1613" s="82" t="str">
        <f t="shared" si="50"/>
        <v>2016</v>
      </c>
      <c r="B1613" s="72" t="s">
        <v>131</v>
      </c>
      <c r="C1613" s="73" t="s">
        <v>132</v>
      </c>
      <c r="D1613" s="74" t="str">
        <f t="shared" si="51"/>
        <v>jun/2016</v>
      </c>
      <c r="E1613" s="53">
        <v>42548</v>
      </c>
      <c r="F1613" s="75" t="s">
        <v>252</v>
      </c>
      <c r="G1613" s="72"/>
      <c r="H1613" s="49" t="s">
        <v>1084</v>
      </c>
      <c r="I1613" s="49" t="s">
        <v>168</v>
      </c>
      <c r="J1613" s="76">
        <v>-3258.16</v>
      </c>
      <c r="K1613" s="83" t="str">
        <f>IFERROR(IFERROR(VLOOKUP(I1613,'DE-PARA'!B:D,3,0),VLOOKUP(I1613,'DE-PARA'!C:D,2,0)),"NÃO ENCONTRADO")</f>
        <v>Pessoal</v>
      </c>
      <c r="L1613" s="50" t="str">
        <f>VLOOKUP(K1613,'Base -Receita-Despesa'!$B:$P,1,FALSE)</f>
        <v>Pessoal</v>
      </c>
    </row>
    <row r="1614" spans="1:12" ht="15" customHeight="1" x14ac:dyDescent="0.3">
      <c r="A1614" s="82" t="str">
        <f t="shared" si="50"/>
        <v>2016</v>
      </c>
      <c r="B1614" s="72" t="s">
        <v>131</v>
      </c>
      <c r="C1614" s="73" t="s">
        <v>132</v>
      </c>
      <c r="D1614" s="74" t="str">
        <f t="shared" si="51"/>
        <v>jun/2016</v>
      </c>
      <c r="E1614" s="53">
        <v>42548</v>
      </c>
      <c r="F1614" s="75" t="s">
        <v>199</v>
      </c>
      <c r="G1614" s="72"/>
      <c r="H1614" s="49" t="s">
        <v>1236</v>
      </c>
      <c r="I1614" s="49" t="s">
        <v>192</v>
      </c>
      <c r="J1614" s="76">
        <v>-205.9</v>
      </c>
      <c r="K1614" s="83" t="str">
        <f>IFERROR(IFERROR(VLOOKUP(I1614,'DE-PARA'!B:D,3,0),VLOOKUP(I1614,'DE-PARA'!C:D,2,0)),"NÃO ENCONTRADO")</f>
        <v>Materiais</v>
      </c>
      <c r="L1614" s="50" t="str">
        <f>VLOOKUP(K1614,'Base -Receita-Despesa'!$B:$P,1,FALSE)</f>
        <v>Materiais</v>
      </c>
    </row>
    <row r="1615" spans="1:12" ht="15" customHeight="1" x14ac:dyDescent="0.3">
      <c r="A1615" s="82" t="str">
        <f t="shared" si="50"/>
        <v>2016</v>
      </c>
      <c r="B1615" s="72" t="s">
        <v>131</v>
      </c>
      <c r="C1615" s="73" t="s">
        <v>132</v>
      </c>
      <c r="D1615" s="74" t="str">
        <f t="shared" si="51"/>
        <v>jun/2016</v>
      </c>
      <c r="E1615" s="53">
        <v>42548</v>
      </c>
      <c r="F1615" s="75" t="s">
        <v>840</v>
      </c>
      <c r="G1615" s="72"/>
      <c r="H1615" s="49" t="s">
        <v>1237</v>
      </c>
      <c r="I1615" s="49" t="s">
        <v>129</v>
      </c>
      <c r="J1615" s="76">
        <v>-25.3</v>
      </c>
      <c r="K1615" s="83" t="str">
        <f>IFERROR(IFERROR(VLOOKUP(I1615,'DE-PARA'!B:D,3,0),VLOOKUP(I1615,'DE-PARA'!C:D,2,0)),"NÃO ENCONTRADO")</f>
        <v>Outras Saídas</v>
      </c>
      <c r="L1615" s="50" t="str">
        <f>VLOOKUP(K1615,'Base -Receita-Despesa'!$B:$P,1,FALSE)</f>
        <v>Outras Saídas</v>
      </c>
    </row>
    <row r="1616" spans="1:12" ht="15" customHeight="1" x14ac:dyDescent="0.3">
      <c r="A1616" s="82" t="str">
        <f t="shared" si="50"/>
        <v>2016</v>
      </c>
      <c r="B1616" s="72" t="s">
        <v>131</v>
      </c>
      <c r="C1616" s="73" t="s">
        <v>132</v>
      </c>
      <c r="D1616" s="74" t="str">
        <f t="shared" si="51"/>
        <v>jun/2016</v>
      </c>
      <c r="E1616" s="53">
        <v>42548</v>
      </c>
      <c r="F1616" s="75" t="s">
        <v>1054</v>
      </c>
      <c r="G1616" s="72"/>
      <c r="H1616" s="49" t="s">
        <v>1055</v>
      </c>
      <c r="I1616" s="49" t="s">
        <v>1056</v>
      </c>
      <c r="J1616" s="76">
        <v>906.46</v>
      </c>
      <c r="K1616" s="83" t="str">
        <f>IFERROR(IFERROR(VLOOKUP(I1616,'DE-PARA'!B:D,3,0),VLOOKUP(I1616,'DE-PARA'!C:D,2,0)),"NÃO ENCONTRADO")</f>
        <v>ENTRADA CONTA APLICAÇÃO (+)</v>
      </c>
      <c r="L1616" s="50" t="str">
        <f>VLOOKUP(K1616,'Base -Receita-Despesa'!$B:$P,1,FALSE)</f>
        <v>ENTRADA CONTA APLICAÇÃO (+)</v>
      </c>
    </row>
    <row r="1617" spans="1:12" ht="15" customHeight="1" x14ac:dyDescent="0.3">
      <c r="A1617" s="82" t="str">
        <f t="shared" si="50"/>
        <v>2016</v>
      </c>
      <c r="B1617" s="72" t="s">
        <v>249</v>
      </c>
      <c r="C1617" s="73" t="s">
        <v>132</v>
      </c>
      <c r="D1617" s="74" t="str">
        <f t="shared" si="51"/>
        <v>jun/2016</v>
      </c>
      <c r="E1617" s="53">
        <v>42548</v>
      </c>
      <c r="F1617" s="75" t="s">
        <v>1244</v>
      </c>
      <c r="G1617" s="72"/>
      <c r="H1617" s="49" t="s">
        <v>1245</v>
      </c>
      <c r="I1617" s="49" t="s">
        <v>129</v>
      </c>
      <c r="J1617" s="76">
        <v>-25.3</v>
      </c>
      <c r="K1617" s="83" t="str">
        <f>IFERROR(IFERROR(VLOOKUP(I1617,'DE-PARA'!B:D,3,0),VLOOKUP(I1617,'DE-PARA'!C:D,2,0)),"NÃO ENCONTRADO")</f>
        <v>Outras Saídas</v>
      </c>
      <c r="L1617" s="50" t="str">
        <f>VLOOKUP(K1617,'Base -Receita-Despesa'!$B:$P,1,FALSE)</f>
        <v>Outras Saídas</v>
      </c>
    </row>
    <row r="1618" spans="1:12" ht="15" customHeight="1" x14ac:dyDescent="0.3">
      <c r="A1618" s="82" t="str">
        <f t="shared" si="50"/>
        <v>2016</v>
      </c>
      <c r="B1618" s="72" t="s">
        <v>120</v>
      </c>
      <c r="C1618" s="73" t="s">
        <v>132</v>
      </c>
      <c r="D1618" s="74" t="str">
        <f t="shared" si="51"/>
        <v>jun/2016</v>
      </c>
      <c r="E1618" s="53">
        <v>42548</v>
      </c>
      <c r="F1618" s="75" t="s">
        <v>1244</v>
      </c>
      <c r="G1618" s="72"/>
      <c r="H1618" s="49" t="s">
        <v>1245</v>
      </c>
      <c r="I1618" s="49" t="s">
        <v>129</v>
      </c>
      <c r="J1618" s="76">
        <v>-25.3</v>
      </c>
      <c r="K1618" s="83" t="str">
        <f>IFERROR(IFERROR(VLOOKUP(I1618,'DE-PARA'!B:D,3,0),VLOOKUP(I1618,'DE-PARA'!C:D,2,0)),"NÃO ENCONTRADO")</f>
        <v>Outras Saídas</v>
      </c>
      <c r="L1618" s="50" t="str">
        <f>VLOOKUP(K1618,'Base -Receita-Despesa'!$B:$P,1,FALSE)</f>
        <v>Outras Saídas</v>
      </c>
    </row>
    <row r="1619" spans="1:12" ht="15" customHeight="1" x14ac:dyDescent="0.3">
      <c r="A1619" s="82" t="str">
        <f t="shared" si="50"/>
        <v>2016</v>
      </c>
      <c r="B1619" s="72" t="s">
        <v>131</v>
      </c>
      <c r="C1619" s="73" t="s">
        <v>132</v>
      </c>
      <c r="D1619" s="74" t="str">
        <f t="shared" si="51"/>
        <v>jun/2016</v>
      </c>
      <c r="E1619" s="53">
        <v>42550</v>
      </c>
      <c r="F1619" s="75" t="s">
        <v>252</v>
      </c>
      <c r="G1619" s="72"/>
      <c r="H1619" s="49" t="s">
        <v>1084</v>
      </c>
      <c r="I1619" s="49" t="s">
        <v>168</v>
      </c>
      <c r="J1619" s="76">
        <v>3258.16</v>
      </c>
      <c r="K1619" s="83" t="str">
        <f>IFERROR(IFERROR(VLOOKUP(I1619,'DE-PARA'!B:D,3,0),VLOOKUP(I1619,'DE-PARA'!C:D,2,0)),"NÃO ENCONTRADO")</f>
        <v>Pessoal</v>
      </c>
      <c r="L1619" s="50" t="str">
        <f>VLOOKUP(K1619,'Base -Receita-Despesa'!$B:$P,1,FALSE)</f>
        <v>Pessoal</v>
      </c>
    </row>
    <row r="1620" spans="1:12" ht="15" customHeight="1" x14ac:dyDescent="0.3">
      <c r="A1620" s="82" t="str">
        <f t="shared" si="50"/>
        <v>2016</v>
      </c>
      <c r="B1620" s="72" t="s">
        <v>131</v>
      </c>
      <c r="C1620" s="73" t="s">
        <v>132</v>
      </c>
      <c r="D1620" s="74" t="str">
        <f t="shared" si="51"/>
        <v>jun/2016</v>
      </c>
      <c r="E1620" s="53">
        <v>42550</v>
      </c>
      <c r="F1620" s="75" t="s">
        <v>252</v>
      </c>
      <c r="G1620" s="72"/>
      <c r="H1620" s="49" t="s">
        <v>1084</v>
      </c>
      <c r="I1620" s="49" t="s">
        <v>168</v>
      </c>
      <c r="J1620" s="76">
        <v>-3258.16</v>
      </c>
      <c r="K1620" s="83" t="str">
        <f>IFERROR(IFERROR(VLOOKUP(I1620,'DE-PARA'!B:D,3,0),VLOOKUP(I1620,'DE-PARA'!C:D,2,0)),"NÃO ENCONTRADO")</f>
        <v>Pessoal</v>
      </c>
      <c r="L1620" s="50" t="str">
        <f>VLOOKUP(K1620,'Base -Receita-Despesa'!$B:$P,1,FALSE)</f>
        <v>Pessoal</v>
      </c>
    </row>
    <row r="1621" spans="1:12" ht="15" customHeight="1" x14ac:dyDescent="0.3">
      <c r="A1621" s="82" t="str">
        <f t="shared" si="50"/>
        <v>2016</v>
      </c>
      <c r="B1621" s="72" t="s">
        <v>131</v>
      </c>
      <c r="C1621" s="73" t="s">
        <v>132</v>
      </c>
      <c r="D1621" s="74" t="str">
        <f t="shared" si="51"/>
        <v>jun/2016</v>
      </c>
      <c r="E1621" s="53">
        <v>42550</v>
      </c>
      <c r="F1621" s="75" t="s">
        <v>252</v>
      </c>
      <c r="G1621" s="72"/>
      <c r="H1621" s="49" t="s">
        <v>1084</v>
      </c>
      <c r="I1621" s="49" t="s">
        <v>168</v>
      </c>
      <c r="J1621" s="76">
        <v>-3258.16</v>
      </c>
      <c r="K1621" s="83" t="str">
        <f>IFERROR(IFERROR(VLOOKUP(I1621,'DE-PARA'!B:D,3,0),VLOOKUP(I1621,'DE-PARA'!C:D,2,0)),"NÃO ENCONTRADO")</f>
        <v>Pessoal</v>
      </c>
      <c r="L1621" s="50" t="str">
        <f>VLOOKUP(K1621,'Base -Receita-Despesa'!$B:$P,1,FALSE)</f>
        <v>Pessoal</v>
      </c>
    </row>
    <row r="1622" spans="1:12" ht="15" customHeight="1" x14ac:dyDescent="0.3">
      <c r="A1622" s="82" t="str">
        <f t="shared" si="50"/>
        <v>2016</v>
      </c>
      <c r="B1622" s="72" t="s">
        <v>131</v>
      </c>
      <c r="C1622" s="73" t="s">
        <v>132</v>
      </c>
      <c r="D1622" s="74" t="str">
        <f t="shared" si="51"/>
        <v>jun/2016</v>
      </c>
      <c r="E1622" s="53">
        <v>42550</v>
      </c>
      <c r="F1622" s="75" t="s">
        <v>199</v>
      </c>
      <c r="G1622" s="72"/>
      <c r="H1622" s="49" t="s">
        <v>383</v>
      </c>
      <c r="I1622" s="49" t="s">
        <v>192</v>
      </c>
      <c r="J1622" s="76">
        <v>-1081.31</v>
      </c>
      <c r="K1622" s="83" t="str">
        <f>IFERROR(IFERROR(VLOOKUP(I1622,'DE-PARA'!B:D,3,0),VLOOKUP(I1622,'DE-PARA'!C:D,2,0)),"NÃO ENCONTRADO")</f>
        <v>Materiais</v>
      </c>
      <c r="L1622" s="50" t="str">
        <f>VLOOKUP(K1622,'Base -Receita-Despesa'!$B:$P,1,FALSE)</f>
        <v>Materiais</v>
      </c>
    </row>
    <row r="1623" spans="1:12" ht="15" customHeight="1" x14ac:dyDescent="0.3">
      <c r="A1623" s="82" t="str">
        <f t="shared" si="50"/>
        <v>2016</v>
      </c>
      <c r="B1623" s="72" t="s">
        <v>131</v>
      </c>
      <c r="C1623" s="73" t="s">
        <v>132</v>
      </c>
      <c r="D1623" s="74" t="str">
        <f t="shared" si="51"/>
        <v>jun/2016</v>
      </c>
      <c r="E1623" s="53">
        <v>42550</v>
      </c>
      <c r="F1623" s="75" t="s">
        <v>125</v>
      </c>
      <c r="G1623" s="72"/>
      <c r="H1623" s="49" t="s">
        <v>1238</v>
      </c>
      <c r="I1623" s="49" t="s">
        <v>127</v>
      </c>
      <c r="J1623" s="76">
        <v>-27365.25</v>
      </c>
      <c r="K1623" s="83" t="str">
        <f>IFERROR(IFERROR(VLOOKUP(I1623,'DE-PARA'!B:D,3,0),VLOOKUP(I1623,'DE-PARA'!C:D,2,0)),"NÃO ENCONTRADO")</f>
        <v>Pessoal</v>
      </c>
      <c r="L1623" s="50" t="str">
        <f>VLOOKUP(K1623,'Base -Receita-Despesa'!$B:$P,1,FALSE)</f>
        <v>Pessoal</v>
      </c>
    </row>
    <row r="1624" spans="1:12" ht="15" customHeight="1" x14ac:dyDescent="0.3">
      <c r="A1624" s="82" t="str">
        <f t="shared" si="50"/>
        <v>2016</v>
      </c>
      <c r="B1624" s="72" t="s">
        <v>131</v>
      </c>
      <c r="C1624" s="73" t="s">
        <v>132</v>
      </c>
      <c r="D1624" s="74" t="str">
        <f t="shared" si="51"/>
        <v>jun/2016</v>
      </c>
      <c r="E1624" s="53">
        <v>42550</v>
      </c>
      <c r="F1624" s="75" t="s">
        <v>1054</v>
      </c>
      <c r="G1624" s="72"/>
      <c r="H1624" s="49" t="s">
        <v>1055</v>
      </c>
      <c r="I1624" s="49" t="s">
        <v>1056</v>
      </c>
      <c r="J1624" s="76">
        <v>31704.720000000001</v>
      </c>
      <c r="K1624" s="83" t="str">
        <f>IFERROR(IFERROR(VLOOKUP(I1624,'DE-PARA'!B:D,3,0),VLOOKUP(I1624,'DE-PARA'!C:D,2,0)),"NÃO ENCONTRADO")</f>
        <v>ENTRADA CONTA APLICAÇÃO (+)</v>
      </c>
      <c r="L1624" s="50" t="str">
        <f>VLOOKUP(K1624,'Base -Receita-Despesa'!$B:$P,1,FALSE)</f>
        <v>ENTRADA CONTA APLICAÇÃO (+)</v>
      </c>
    </row>
    <row r="1625" spans="1:12" ht="15" customHeight="1" x14ac:dyDescent="0.3">
      <c r="A1625" s="82" t="str">
        <f t="shared" si="50"/>
        <v>2016</v>
      </c>
      <c r="B1625" s="72" t="s">
        <v>131</v>
      </c>
      <c r="C1625" s="73" t="s">
        <v>132</v>
      </c>
      <c r="D1625" s="74" t="str">
        <f t="shared" si="51"/>
        <v>jun/2016</v>
      </c>
      <c r="E1625" s="53">
        <v>42551</v>
      </c>
      <c r="F1625" s="75" t="s">
        <v>1239</v>
      </c>
      <c r="G1625" s="72"/>
      <c r="H1625" s="49" t="s">
        <v>235</v>
      </c>
      <c r="I1625" s="49" t="s">
        <v>204</v>
      </c>
      <c r="J1625" s="76">
        <v>-2557.58</v>
      </c>
      <c r="K1625" s="83" t="str">
        <f>IFERROR(IFERROR(VLOOKUP(I1625,'DE-PARA'!B:D,3,0),VLOOKUP(I1625,'DE-PARA'!C:D,2,0)),"NÃO ENCONTRADO")</f>
        <v>Serviços</v>
      </c>
      <c r="L1625" s="50" t="str">
        <f>VLOOKUP(K1625,'Base -Receita-Despesa'!$B:$P,1,FALSE)</f>
        <v>Serviços</v>
      </c>
    </row>
    <row r="1626" spans="1:12" ht="15" customHeight="1" x14ac:dyDescent="0.3">
      <c r="A1626" s="82" t="str">
        <f t="shared" si="50"/>
        <v>2016</v>
      </c>
      <c r="B1626" s="72" t="s">
        <v>131</v>
      </c>
      <c r="C1626" s="73" t="s">
        <v>132</v>
      </c>
      <c r="D1626" s="74" t="str">
        <f t="shared" si="51"/>
        <v>jun/2016</v>
      </c>
      <c r="E1626" s="53">
        <v>42551</v>
      </c>
      <c r="F1626" s="75" t="s">
        <v>1240</v>
      </c>
      <c r="G1626" s="72"/>
      <c r="H1626" s="49" t="s">
        <v>183</v>
      </c>
      <c r="I1626" s="49" t="s">
        <v>159</v>
      </c>
      <c r="J1626" s="76">
        <v>-982.32</v>
      </c>
      <c r="K1626" s="83" t="str">
        <f>IFERROR(IFERROR(VLOOKUP(I1626,'DE-PARA'!B:D,3,0),VLOOKUP(I1626,'DE-PARA'!C:D,2,0)),"NÃO ENCONTRADO")</f>
        <v>Materiais</v>
      </c>
      <c r="L1626" s="50" t="str">
        <f>VLOOKUP(K1626,'Base -Receita-Despesa'!$B:$P,1,FALSE)</f>
        <v>Materiais</v>
      </c>
    </row>
    <row r="1627" spans="1:12" ht="15" customHeight="1" x14ac:dyDescent="0.3">
      <c r="A1627" s="82" t="str">
        <f t="shared" si="50"/>
        <v>2016</v>
      </c>
      <c r="B1627" s="72" t="s">
        <v>131</v>
      </c>
      <c r="C1627" s="73" t="s">
        <v>132</v>
      </c>
      <c r="D1627" s="74" t="str">
        <f t="shared" si="51"/>
        <v>jun/2016</v>
      </c>
      <c r="E1627" s="53">
        <v>42551</v>
      </c>
      <c r="F1627" s="75" t="s">
        <v>122</v>
      </c>
      <c r="G1627" s="72"/>
      <c r="H1627" s="49" t="s">
        <v>1241</v>
      </c>
      <c r="I1627" s="49" t="s">
        <v>124</v>
      </c>
      <c r="J1627" s="76">
        <v>-2685.41</v>
      </c>
      <c r="K1627" s="83" t="str">
        <f>IFERROR(IFERROR(VLOOKUP(I1627,'DE-PARA'!B:D,3,0),VLOOKUP(I1627,'DE-PARA'!C:D,2,0)),"NÃO ENCONTRADO")</f>
        <v>Rescisões Trabalhistas</v>
      </c>
      <c r="L1627" s="50" t="str">
        <f>VLOOKUP(K1627,'Base -Receita-Despesa'!$B:$P,1,FALSE)</f>
        <v>Rescisões Trabalhistas</v>
      </c>
    </row>
    <row r="1628" spans="1:12" ht="15" customHeight="1" x14ac:dyDescent="0.3">
      <c r="A1628" s="82" t="str">
        <f t="shared" si="50"/>
        <v>2016</v>
      </c>
      <c r="B1628" s="72" t="s">
        <v>131</v>
      </c>
      <c r="C1628" s="73" t="s">
        <v>132</v>
      </c>
      <c r="D1628" s="74" t="str">
        <f t="shared" si="51"/>
        <v>jun/2016</v>
      </c>
      <c r="E1628" s="53">
        <v>42551</v>
      </c>
      <c r="F1628" s="75" t="s">
        <v>1242</v>
      </c>
      <c r="G1628" s="72"/>
      <c r="H1628" s="49" t="s">
        <v>328</v>
      </c>
      <c r="I1628" s="49" t="s">
        <v>159</v>
      </c>
      <c r="J1628" s="76">
        <v>-555.17999999999995</v>
      </c>
      <c r="K1628" s="83" t="str">
        <f>IFERROR(IFERROR(VLOOKUP(I1628,'DE-PARA'!B:D,3,0),VLOOKUP(I1628,'DE-PARA'!C:D,2,0)),"NÃO ENCONTRADO")</f>
        <v>Materiais</v>
      </c>
      <c r="L1628" s="50" t="str">
        <f>VLOOKUP(K1628,'Base -Receita-Despesa'!$B:$P,1,FALSE)</f>
        <v>Materiais</v>
      </c>
    </row>
    <row r="1629" spans="1:12" ht="15" customHeight="1" x14ac:dyDescent="0.3">
      <c r="A1629" s="82" t="str">
        <f t="shared" si="50"/>
        <v>2016</v>
      </c>
      <c r="B1629" s="72" t="s">
        <v>131</v>
      </c>
      <c r="C1629" s="73" t="s">
        <v>132</v>
      </c>
      <c r="D1629" s="74" t="str">
        <f t="shared" si="51"/>
        <v>jun/2016</v>
      </c>
      <c r="E1629" s="53">
        <v>42551</v>
      </c>
      <c r="F1629" s="75" t="s">
        <v>155</v>
      </c>
      <c r="G1629" s="72"/>
      <c r="H1629" s="49" t="s">
        <v>452</v>
      </c>
      <c r="I1629" s="49" t="s">
        <v>157</v>
      </c>
      <c r="J1629" s="76">
        <v>-6833.55</v>
      </c>
      <c r="K1629" s="83" t="str">
        <f>IFERROR(IFERROR(VLOOKUP(I1629,'DE-PARA'!B:D,3,0),VLOOKUP(I1629,'DE-PARA'!C:D,2,0)),"NÃO ENCONTRADO")</f>
        <v>Concessionárias (água, luz e telefone)</v>
      </c>
      <c r="L1629" s="50" t="str">
        <f>VLOOKUP(K1629,'Base -Receita-Despesa'!$B:$P,1,FALSE)</f>
        <v>Concessionárias (água, luz e telefone)</v>
      </c>
    </row>
    <row r="1630" spans="1:12" ht="15" customHeight="1" x14ac:dyDescent="0.3">
      <c r="A1630" s="82" t="str">
        <f t="shared" si="50"/>
        <v>2016</v>
      </c>
      <c r="B1630" s="72" t="s">
        <v>131</v>
      </c>
      <c r="C1630" s="73" t="s">
        <v>132</v>
      </c>
      <c r="D1630" s="74" t="str">
        <f t="shared" si="51"/>
        <v>jun/2016</v>
      </c>
      <c r="E1630" s="53">
        <v>42551</v>
      </c>
      <c r="F1630" s="75" t="s">
        <v>243</v>
      </c>
      <c r="G1630" s="72"/>
      <c r="H1630" s="49" t="s">
        <v>1241</v>
      </c>
      <c r="I1630" s="49" t="s">
        <v>124</v>
      </c>
      <c r="J1630" s="76">
        <v>-4137.5600000000004</v>
      </c>
      <c r="K1630" s="83" t="str">
        <f>IFERROR(IFERROR(VLOOKUP(I1630,'DE-PARA'!B:D,3,0),VLOOKUP(I1630,'DE-PARA'!C:D,2,0)),"NÃO ENCONTRADO")</f>
        <v>Rescisões Trabalhistas</v>
      </c>
      <c r="L1630" s="50" t="str">
        <f>VLOOKUP(K1630,'Base -Receita-Despesa'!$B:$P,1,FALSE)</f>
        <v>Rescisões Trabalhistas</v>
      </c>
    </row>
    <row r="1631" spans="1:12" ht="15" customHeight="1" x14ac:dyDescent="0.3">
      <c r="A1631" s="82" t="str">
        <f t="shared" si="50"/>
        <v>2016</v>
      </c>
      <c r="B1631" s="72" t="s">
        <v>131</v>
      </c>
      <c r="C1631" s="73" t="s">
        <v>132</v>
      </c>
      <c r="D1631" s="74" t="str">
        <f t="shared" si="51"/>
        <v>jun/2016</v>
      </c>
      <c r="E1631" s="53">
        <v>42551</v>
      </c>
      <c r="F1631" s="75" t="s">
        <v>828</v>
      </c>
      <c r="G1631" s="72"/>
      <c r="H1631" s="49" t="s">
        <v>1077</v>
      </c>
      <c r="I1631" s="49" t="s">
        <v>830</v>
      </c>
      <c r="J1631" s="76">
        <v>-186.31</v>
      </c>
      <c r="K1631" s="83" t="str">
        <f>IFERROR(IFERROR(VLOOKUP(I1631,'DE-PARA'!B:D,3,0),VLOOKUP(I1631,'DE-PARA'!C:D,2,0)),"NÃO ENCONTRADO")</f>
        <v>Pessoal</v>
      </c>
      <c r="L1631" s="50" t="str">
        <f>VLOOKUP(K1631,'Base -Receita-Despesa'!$B:$P,1,FALSE)</f>
        <v>Pessoal</v>
      </c>
    </row>
    <row r="1632" spans="1:12" ht="15" customHeight="1" x14ac:dyDescent="0.3">
      <c r="A1632" s="82" t="str">
        <f t="shared" si="50"/>
        <v>2016</v>
      </c>
      <c r="B1632" s="72" t="s">
        <v>131</v>
      </c>
      <c r="C1632" s="73" t="s">
        <v>132</v>
      </c>
      <c r="D1632" s="74" t="str">
        <f t="shared" si="51"/>
        <v>jun/2016</v>
      </c>
      <c r="E1632" s="53">
        <v>42551</v>
      </c>
      <c r="F1632" s="75" t="s">
        <v>1054</v>
      </c>
      <c r="G1632" s="72"/>
      <c r="H1632" s="49" t="s">
        <v>1055</v>
      </c>
      <c r="I1632" s="49" t="s">
        <v>1056</v>
      </c>
      <c r="J1632" s="76">
        <v>17937.91</v>
      </c>
      <c r="K1632" s="83" t="str">
        <f>IFERROR(IFERROR(VLOOKUP(I1632,'DE-PARA'!B:D,3,0),VLOOKUP(I1632,'DE-PARA'!C:D,2,0)),"NÃO ENCONTRADO")</f>
        <v>ENTRADA CONTA APLICAÇÃO (+)</v>
      </c>
      <c r="L1632" s="50" t="str">
        <f>VLOOKUP(K1632,'Base -Receita-Despesa'!$B:$P,1,FALSE)</f>
        <v>ENTRADA CONTA APLICAÇÃO (+)</v>
      </c>
    </row>
    <row r="1633" spans="1:12" ht="15" customHeight="1" x14ac:dyDescent="0.3">
      <c r="A1633" s="82" t="str">
        <f t="shared" si="50"/>
        <v>2016</v>
      </c>
      <c r="B1633" s="72" t="s">
        <v>1039</v>
      </c>
      <c r="C1633" s="73" t="s">
        <v>132</v>
      </c>
      <c r="D1633" s="74" t="str">
        <f t="shared" si="51"/>
        <v>jun/2016</v>
      </c>
      <c r="E1633" s="53">
        <v>42551</v>
      </c>
      <c r="F1633" s="75" t="s">
        <v>239</v>
      </c>
      <c r="G1633" s="72"/>
      <c r="H1633" s="49" t="s">
        <v>1246</v>
      </c>
      <c r="I1633" s="49" t="s">
        <v>240</v>
      </c>
      <c r="J1633" s="76">
        <v>2.75</v>
      </c>
      <c r="K1633" s="83" t="str">
        <f>IFERROR(IFERROR(VLOOKUP(I1633,'DE-PARA'!B:D,3,0),VLOOKUP(I1633,'DE-PARA'!C:D,2,0)),"NÃO ENCONTRADO")</f>
        <v>Rendimentos sobre Aplicações Financeiras</v>
      </c>
      <c r="L1633" s="50" t="str">
        <f>VLOOKUP(K1633,'Base -Receita-Despesa'!$B:$P,1,FALSE)</f>
        <v>Rendimentos sobre Aplicações Financeiras</v>
      </c>
    </row>
    <row r="1634" spans="1:12" ht="15" customHeight="1" x14ac:dyDescent="0.3">
      <c r="A1634" s="82" t="str">
        <f t="shared" si="50"/>
        <v>2016</v>
      </c>
      <c r="B1634" s="72" t="s">
        <v>238</v>
      </c>
      <c r="C1634" s="73" t="s">
        <v>132</v>
      </c>
      <c r="D1634" s="74" t="str">
        <f t="shared" si="51"/>
        <v>jun/2016</v>
      </c>
      <c r="E1634" s="53">
        <v>42551</v>
      </c>
      <c r="F1634" s="75" t="s">
        <v>239</v>
      </c>
      <c r="G1634" s="72"/>
      <c r="H1634" s="49" t="s">
        <v>1246</v>
      </c>
      <c r="I1634" s="49" t="s">
        <v>240</v>
      </c>
      <c r="J1634" s="76">
        <v>1731.22</v>
      </c>
      <c r="K1634" s="83" t="str">
        <f>IFERROR(IFERROR(VLOOKUP(I1634,'DE-PARA'!B:D,3,0),VLOOKUP(I1634,'DE-PARA'!C:D,2,0)),"NÃO ENCONTRADO")</f>
        <v>Rendimentos sobre Aplicações Financeiras</v>
      </c>
      <c r="L1634" s="50" t="str">
        <f>VLOOKUP(K1634,'Base -Receita-Despesa'!$B:$P,1,FALSE)</f>
        <v>Rendimentos sobre Aplicações Financeiras</v>
      </c>
    </row>
    <row r="1635" spans="1:12" ht="15" customHeight="1" x14ac:dyDescent="0.3">
      <c r="A1635" s="82" t="str">
        <f t="shared" si="50"/>
        <v>2016</v>
      </c>
      <c r="B1635" s="72" t="s">
        <v>1037</v>
      </c>
      <c r="C1635" s="73" t="s">
        <v>132</v>
      </c>
      <c r="D1635" s="74" t="str">
        <f t="shared" si="51"/>
        <v>jun/2016</v>
      </c>
      <c r="E1635" s="53">
        <v>42551</v>
      </c>
      <c r="F1635" s="75" t="s">
        <v>239</v>
      </c>
      <c r="G1635" s="72"/>
      <c r="H1635" s="49" t="s">
        <v>1246</v>
      </c>
      <c r="I1635" s="49" t="s">
        <v>240</v>
      </c>
      <c r="J1635" s="76">
        <v>9.41</v>
      </c>
      <c r="K1635" s="83" t="str">
        <f>IFERROR(IFERROR(VLOOKUP(I1635,'DE-PARA'!B:D,3,0),VLOOKUP(I1635,'DE-PARA'!C:D,2,0)),"NÃO ENCONTRADO")</f>
        <v>Rendimentos sobre Aplicações Financeiras</v>
      </c>
      <c r="L1635" s="50" t="str">
        <f>VLOOKUP(K1635,'Base -Receita-Despesa'!$B:$P,1,FALSE)</f>
        <v>Rendimentos sobre Aplicações Financeiras</v>
      </c>
    </row>
    <row r="1636" spans="1:12" ht="15" customHeight="1" x14ac:dyDescent="0.3">
      <c r="A1636" s="82" t="str">
        <f t="shared" si="50"/>
        <v>2016</v>
      </c>
      <c r="B1636" s="72" t="s">
        <v>131</v>
      </c>
      <c r="C1636" s="73" t="s">
        <v>132</v>
      </c>
      <c r="D1636" s="74" t="str">
        <f t="shared" si="51"/>
        <v>jul/2016</v>
      </c>
      <c r="E1636" s="53">
        <v>42552</v>
      </c>
      <c r="F1636" s="75" t="s">
        <v>252</v>
      </c>
      <c r="G1636" s="72"/>
      <c r="H1636" s="49" t="s">
        <v>1247</v>
      </c>
      <c r="I1636" s="49" t="s">
        <v>168</v>
      </c>
      <c r="J1636" s="76">
        <v>-699.52</v>
      </c>
      <c r="K1636" s="83" t="str">
        <f>IFERROR(IFERROR(VLOOKUP(I1636,'DE-PARA'!B:D,3,0),VLOOKUP(I1636,'DE-PARA'!C:D,2,0)),"NÃO ENCONTRADO")</f>
        <v>Pessoal</v>
      </c>
      <c r="L1636" s="50" t="str">
        <f>VLOOKUP(K1636,'Base -Receita-Despesa'!$B:$P,1,FALSE)</f>
        <v>Pessoal</v>
      </c>
    </row>
    <row r="1637" spans="1:12" ht="15" customHeight="1" x14ac:dyDescent="0.3">
      <c r="A1637" s="82" t="str">
        <f t="shared" si="50"/>
        <v>2016</v>
      </c>
      <c r="B1637" s="72" t="s">
        <v>131</v>
      </c>
      <c r="C1637" s="73" t="s">
        <v>132</v>
      </c>
      <c r="D1637" s="74" t="str">
        <f t="shared" si="51"/>
        <v>jul/2016</v>
      </c>
      <c r="E1637" s="53">
        <v>42552</v>
      </c>
      <c r="F1637" s="75" t="s">
        <v>840</v>
      </c>
      <c r="G1637" s="72"/>
      <c r="H1637" s="49" t="s">
        <v>251</v>
      </c>
      <c r="I1637" s="49" t="s">
        <v>129</v>
      </c>
      <c r="J1637" s="76">
        <v>-12.3</v>
      </c>
      <c r="K1637" s="83" t="str">
        <f>IFERROR(IFERROR(VLOOKUP(I1637,'DE-PARA'!B:D,3,0),VLOOKUP(I1637,'DE-PARA'!C:D,2,0)),"NÃO ENCONTRADO")</f>
        <v>Outras Saídas</v>
      </c>
      <c r="L1637" s="50" t="str">
        <f>VLOOKUP(K1637,'Base -Receita-Despesa'!$B:$P,1,FALSE)</f>
        <v>Outras Saídas</v>
      </c>
    </row>
    <row r="1638" spans="1:12" ht="15" customHeight="1" x14ac:dyDescent="0.3">
      <c r="A1638" s="82" t="str">
        <f t="shared" si="50"/>
        <v>2016</v>
      </c>
      <c r="B1638" s="72" t="s">
        <v>131</v>
      </c>
      <c r="C1638" s="73" t="s">
        <v>132</v>
      </c>
      <c r="D1638" s="74" t="str">
        <f t="shared" si="51"/>
        <v>jul/2016</v>
      </c>
      <c r="E1638" s="53">
        <v>42552</v>
      </c>
      <c r="F1638" s="75" t="s">
        <v>133</v>
      </c>
      <c r="G1638" s="72"/>
      <c r="H1638" s="49" t="s">
        <v>1063</v>
      </c>
      <c r="I1638" s="49" t="s">
        <v>135</v>
      </c>
      <c r="J1638" s="76">
        <v>-1365.74</v>
      </c>
      <c r="K1638" s="83" t="str">
        <f>IFERROR(IFERROR(VLOOKUP(I1638,'DE-PARA'!B:D,3,0),VLOOKUP(I1638,'DE-PARA'!C:D,2,0)),"NÃO ENCONTRADO")</f>
        <v>Pessoal</v>
      </c>
      <c r="L1638" s="50" t="str">
        <f>VLOOKUP(K1638,'Base -Receita-Despesa'!$B:$P,1,FALSE)</f>
        <v>Pessoal</v>
      </c>
    </row>
    <row r="1639" spans="1:12" ht="15" customHeight="1" x14ac:dyDescent="0.3">
      <c r="A1639" s="82" t="str">
        <f t="shared" si="50"/>
        <v>2016</v>
      </c>
      <c r="B1639" s="72" t="s">
        <v>131</v>
      </c>
      <c r="C1639" s="73" t="s">
        <v>132</v>
      </c>
      <c r="D1639" s="74" t="str">
        <f t="shared" si="51"/>
        <v>jul/2016</v>
      </c>
      <c r="E1639" s="53">
        <v>42552</v>
      </c>
      <c r="F1639" s="75" t="s">
        <v>133</v>
      </c>
      <c r="G1639" s="72"/>
      <c r="H1639" s="49" t="s">
        <v>1248</v>
      </c>
      <c r="I1639" s="49" t="s">
        <v>135</v>
      </c>
      <c r="J1639" s="76">
        <v>-303805.49</v>
      </c>
      <c r="K1639" s="83" t="str">
        <f>IFERROR(IFERROR(VLOOKUP(I1639,'DE-PARA'!B:D,3,0),VLOOKUP(I1639,'DE-PARA'!C:D,2,0)),"NÃO ENCONTRADO")</f>
        <v>Pessoal</v>
      </c>
      <c r="L1639" s="50" t="str">
        <f>VLOOKUP(K1639,'Base -Receita-Despesa'!$B:$P,1,FALSE)</f>
        <v>Pessoal</v>
      </c>
    </row>
    <row r="1640" spans="1:12" ht="15" customHeight="1" x14ac:dyDescent="0.3">
      <c r="A1640" s="82" t="str">
        <f t="shared" si="50"/>
        <v>2016</v>
      </c>
      <c r="B1640" s="72" t="s">
        <v>131</v>
      </c>
      <c r="C1640" s="73" t="s">
        <v>132</v>
      </c>
      <c r="D1640" s="74" t="str">
        <f t="shared" si="51"/>
        <v>jul/2016</v>
      </c>
      <c r="E1640" s="53">
        <v>42552</v>
      </c>
      <c r="F1640" s="75" t="s">
        <v>1249</v>
      </c>
      <c r="G1640" s="72"/>
      <c r="H1640" s="49" t="s">
        <v>1250</v>
      </c>
      <c r="I1640" s="49" t="s">
        <v>153</v>
      </c>
      <c r="J1640" s="76">
        <v>-2000</v>
      </c>
      <c r="K1640" s="83" t="str">
        <f>IFERROR(IFERROR(VLOOKUP(I1640,'DE-PARA'!B:D,3,0),VLOOKUP(I1640,'DE-PARA'!C:D,2,0)),"NÃO ENCONTRADO")</f>
        <v>Outras Saídas</v>
      </c>
      <c r="L1640" s="50" t="str">
        <f>VLOOKUP(K1640,'Base -Receita-Despesa'!$B:$P,1,FALSE)</f>
        <v>Outras Saídas</v>
      </c>
    </row>
    <row r="1641" spans="1:12" ht="15" customHeight="1" x14ac:dyDescent="0.3">
      <c r="A1641" s="82" t="str">
        <f t="shared" si="50"/>
        <v>2016</v>
      </c>
      <c r="B1641" s="72" t="s">
        <v>131</v>
      </c>
      <c r="C1641" s="73" t="s">
        <v>132</v>
      </c>
      <c r="D1641" s="74" t="str">
        <f t="shared" si="51"/>
        <v>jul/2016</v>
      </c>
      <c r="E1641" s="53">
        <v>42552</v>
      </c>
      <c r="F1641" s="75" t="s">
        <v>199</v>
      </c>
      <c r="G1641" s="72"/>
      <c r="H1641" s="49" t="s">
        <v>673</v>
      </c>
      <c r="I1641" s="49" t="s">
        <v>192</v>
      </c>
      <c r="J1641" s="76">
        <v>-181.07</v>
      </c>
      <c r="K1641" s="83" t="str">
        <f>IFERROR(IFERROR(VLOOKUP(I1641,'DE-PARA'!B:D,3,0),VLOOKUP(I1641,'DE-PARA'!C:D,2,0)),"NÃO ENCONTRADO")</f>
        <v>Materiais</v>
      </c>
      <c r="L1641" s="50" t="str">
        <f>VLOOKUP(K1641,'Base -Receita-Despesa'!$B:$P,1,FALSE)</f>
        <v>Materiais</v>
      </c>
    </row>
    <row r="1642" spans="1:12" ht="15" customHeight="1" x14ac:dyDescent="0.3">
      <c r="A1642" s="82" t="str">
        <f t="shared" si="50"/>
        <v>2016</v>
      </c>
      <c r="B1642" s="72" t="s">
        <v>131</v>
      </c>
      <c r="C1642" s="73" t="s">
        <v>132</v>
      </c>
      <c r="D1642" s="74" t="str">
        <f t="shared" si="51"/>
        <v>jul/2016</v>
      </c>
      <c r="E1642" s="53">
        <v>42552</v>
      </c>
      <c r="F1642" s="75" t="s">
        <v>199</v>
      </c>
      <c r="G1642" s="72"/>
      <c r="H1642" s="49" t="s">
        <v>1103</v>
      </c>
      <c r="I1642" s="49" t="s">
        <v>192</v>
      </c>
      <c r="J1642" s="76">
        <v>-59.05</v>
      </c>
      <c r="K1642" s="83" t="str">
        <f>IFERROR(IFERROR(VLOOKUP(I1642,'DE-PARA'!B:D,3,0),VLOOKUP(I1642,'DE-PARA'!C:D,2,0)),"NÃO ENCONTRADO")</f>
        <v>Materiais</v>
      </c>
      <c r="L1642" s="50" t="str">
        <f>VLOOKUP(K1642,'Base -Receita-Despesa'!$B:$P,1,FALSE)</f>
        <v>Materiais</v>
      </c>
    </row>
    <row r="1643" spans="1:12" ht="15" customHeight="1" x14ac:dyDescent="0.3">
      <c r="A1643" s="82" t="str">
        <f t="shared" si="50"/>
        <v>2016</v>
      </c>
      <c r="B1643" s="72" t="s">
        <v>131</v>
      </c>
      <c r="C1643" s="73" t="s">
        <v>132</v>
      </c>
      <c r="D1643" s="74" t="str">
        <f t="shared" si="51"/>
        <v>jul/2016</v>
      </c>
      <c r="E1643" s="53">
        <v>42552</v>
      </c>
      <c r="F1643" s="75" t="s">
        <v>199</v>
      </c>
      <c r="G1643" s="72"/>
      <c r="H1643" s="49" t="s">
        <v>1103</v>
      </c>
      <c r="I1643" s="49" t="s">
        <v>192</v>
      </c>
      <c r="J1643" s="76">
        <v>-250</v>
      </c>
      <c r="K1643" s="83" t="str">
        <f>IFERROR(IFERROR(VLOOKUP(I1643,'DE-PARA'!B:D,3,0),VLOOKUP(I1643,'DE-PARA'!C:D,2,0)),"NÃO ENCONTRADO")</f>
        <v>Materiais</v>
      </c>
      <c r="L1643" s="50" t="str">
        <f>VLOOKUP(K1643,'Base -Receita-Despesa'!$B:$P,1,FALSE)</f>
        <v>Materiais</v>
      </c>
    </row>
    <row r="1644" spans="1:12" ht="15" customHeight="1" x14ac:dyDescent="0.3">
      <c r="A1644" s="82" t="str">
        <f t="shared" si="50"/>
        <v>2016</v>
      </c>
      <c r="B1644" s="72" t="s">
        <v>131</v>
      </c>
      <c r="C1644" s="73" t="s">
        <v>132</v>
      </c>
      <c r="D1644" s="74" t="str">
        <f t="shared" si="51"/>
        <v>jul/2016</v>
      </c>
      <c r="E1644" s="53">
        <v>42552</v>
      </c>
      <c r="F1644" s="75" t="s">
        <v>199</v>
      </c>
      <c r="G1644" s="72"/>
      <c r="H1644" s="49" t="s">
        <v>398</v>
      </c>
      <c r="I1644" s="49" t="s">
        <v>192</v>
      </c>
      <c r="J1644" s="76">
        <v>-82.2</v>
      </c>
      <c r="K1644" s="83" t="str">
        <f>IFERROR(IFERROR(VLOOKUP(I1644,'DE-PARA'!B:D,3,0),VLOOKUP(I1644,'DE-PARA'!C:D,2,0)),"NÃO ENCONTRADO")</f>
        <v>Materiais</v>
      </c>
      <c r="L1644" s="50" t="str">
        <f>VLOOKUP(K1644,'Base -Receita-Despesa'!$B:$P,1,FALSE)</f>
        <v>Materiais</v>
      </c>
    </row>
    <row r="1645" spans="1:12" ht="15" customHeight="1" x14ac:dyDescent="0.3">
      <c r="A1645" s="82" t="str">
        <f t="shared" si="50"/>
        <v>2016</v>
      </c>
      <c r="B1645" s="72" t="s">
        <v>131</v>
      </c>
      <c r="C1645" s="73" t="s">
        <v>132</v>
      </c>
      <c r="D1645" s="74" t="str">
        <f t="shared" si="51"/>
        <v>jul/2016</v>
      </c>
      <c r="E1645" s="53">
        <v>42552</v>
      </c>
      <c r="F1645" s="75" t="s">
        <v>848</v>
      </c>
      <c r="G1645" s="72"/>
      <c r="H1645" s="49" t="s">
        <v>1251</v>
      </c>
      <c r="I1645" s="49" t="s">
        <v>138</v>
      </c>
      <c r="J1645" s="76">
        <v>-329.67</v>
      </c>
      <c r="K1645" s="83" t="str">
        <f>IFERROR(IFERROR(VLOOKUP(I1645,'DE-PARA'!B:D,3,0),VLOOKUP(I1645,'DE-PARA'!C:D,2,0)),"NÃO ENCONTRADO")</f>
        <v>Serviços</v>
      </c>
      <c r="L1645" s="50" t="str">
        <f>VLOOKUP(K1645,'Base -Receita-Despesa'!$B:$P,1,FALSE)</f>
        <v>Serviços</v>
      </c>
    </row>
    <row r="1646" spans="1:12" ht="15" customHeight="1" x14ac:dyDescent="0.3">
      <c r="A1646" s="82" t="str">
        <f t="shared" si="50"/>
        <v>2016</v>
      </c>
      <c r="B1646" s="72" t="s">
        <v>131</v>
      </c>
      <c r="C1646" s="73" t="s">
        <v>132</v>
      </c>
      <c r="D1646" s="74" t="str">
        <f t="shared" si="51"/>
        <v>jul/2016</v>
      </c>
      <c r="E1646" s="53">
        <v>42552</v>
      </c>
      <c r="F1646" s="75" t="s">
        <v>133</v>
      </c>
      <c r="G1646" s="72"/>
      <c r="H1646" s="49" t="s">
        <v>1071</v>
      </c>
      <c r="I1646" s="49" t="s">
        <v>192</v>
      </c>
      <c r="J1646" s="76">
        <v>-1254.29</v>
      </c>
      <c r="K1646" s="83" t="str">
        <f>IFERROR(IFERROR(VLOOKUP(I1646,'DE-PARA'!B:D,3,0),VLOOKUP(I1646,'DE-PARA'!C:D,2,0)),"NÃO ENCONTRADO")</f>
        <v>Materiais</v>
      </c>
      <c r="L1646" s="50" t="str">
        <f>VLOOKUP(K1646,'Base -Receita-Despesa'!$B:$P,1,FALSE)</f>
        <v>Materiais</v>
      </c>
    </row>
    <row r="1647" spans="1:12" ht="15" customHeight="1" x14ac:dyDescent="0.3">
      <c r="A1647" s="82" t="str">
        <f t="shared" si="50"/>
        <v>2016</v>
      </c>
      <c r="B1647" s="72" t="s">
        <v>131</v>
      </c>
      <c r="C1647" s="73" t="s">
        <v>132</v>
      </c>
      <c r="D1647" s="74" t="str">
        <f t="shared" si="51"/>
        <v>jul/2016</v>
      </c>
      <c r="E1647" s="53">
        <v>42552</v>
      </c>
      <c r="F1647" s="75" t="s">
        <v>199</v>
      </c>
      <c r="G1647" s="72"/>
      <c r="H1647" s="49" t="s">
        <v>391</v>
      </c>
      <c r="I1647" s="49" t="s">
        <v>192</v>
      </c>
      <c r="J1647" s="76">
        <v>-27.62</v>
      </c>
      <c r="K1647" s="83" t="str">
        <f>IFERROR(IFERROR(VLOOKUP(I1647,'DE-PARA'!B:D,3,0),VLOOKUP(I1647,'DE-PARA'!C:D,2,0)),"NÃO ENCONTRADO")</f>
        <v>Materiais</v>
      </c>
      <c r="L1647" s="50" t="str">
        <f>VLOOKUP(K1647,'Base -Receita-Despesa'!$B:$P,1,FALSE)</f>
        <v>Materiais</v>
      </c>
    </row>
    <row r="1648" spans="1:12" ht="15" customHeight="1" x14ac:dyDescent="0.3">
      <c r="A1648" s="82" t="str">
        <f t="shared" si="50"/>
        <v>2016</v>
      </c>
      <c r="B1648" s="72" t="s">
        <v>131</v>
      </c>
      <c r="C1648" s="73" t="s">
        <v>132</v>
      </c>
      <c r="D1648" s="74" t="str">
        <f t="shared" si="51"/>
        <v>jul/2016</v>
      </c>
      <c r="E1648" s="53">
        <v>42552</v>
      </c>
      <c r="F1648" s="75" t="s">
        <v>133</v>
      </c>
      <c r="G1648" s="72"/>
      <c r="H1648" s="49" t="s">
        <v>1073</v>
      </c>
      <c r="I1648" s="49" t="s">
        <v>135</v>
      </c>
      <c r="J1648" s="76">
        <v>-1365.74</v>
      </c>
      <c r="K1648" s="83" t="str">
        <f>IFERROR(IFERROR(VLOOKUP(I1648,'DE-PARA'!B:D,3,0),VLOOKUP(I1648,'DE-PARA'!C:D,2,0)),"NÃO ENCONTRADO")</f>
        <v>Pessoal</v>
      </c>
      <c r="L1648" s="50" t="str">
        <f>VLOOKUP(K1648,'Base -Receita-Despesa'!$B:$P,1,FALSE)</f>
        <v>Pessoal</v>
      </c>
    </row>
    <row r="1649" spans="1:12" ht="15" customHeight="1" x14ac:dyDescent="0.3">
      <c r="A1649" s="82" t="str">
        <f t="shared" si="50"/>
        <v>2016</v>
      </c>
      <c r="B1649" s="72" t="s">
        <v>131</v>
      </c>
      <c r="C1649" s="73" t="s">
        <v>132</v>
      </c>
      <c r="D1649" s="74" t="str">
        <f t="shared" si="51"/>
        <v>jul/2016</v>
      </c>
      <c r="E1649" s="53">
        <v>42552</v>
      </c>
      <c r="F1649" s="75" t="s">
        <v>142</v>
      </c>
      <c r="G1649" s="72"/>
      <c r="H1649" s="49" t="s">
        <v>505</v>
      </c>
      <c r="I1649" s="49" t="s">
        <v>144</v>
      </c>
      <c r="J1649" s="76">
        <v>-1476.82</v>
      </c>
      <c r="K1649" s="83" t="str">
        <f>IFERROR(IFERROR(VLOOKUP(I1649,'DE-PARA'!B:D,3,0),VLOOKUP(I1649,'DE-PARA'!C:D,2,0)),"NÃO ENCONTRADO")</f>
        <v>Concessionárias (água, luz e telefone)</v>
      </c>
      <c r="L1649" s="50" t="str">
        <f>VLOOKUP(K1649,'Base -Receita-Despesa'!$B:$P,1,FALSE)</f>
        <v>Concessionárias (água, luz e telefone)</v>
      </c>
    </row>
    <row r="1650" spans="1:12" ht="15" customHeight="1" x14ac:dyDescent="0.3">
      <c r="A1650" s="82" t="str">
        <f t="shared" si="50"/>
        <v>2016</v>
      </c>
      <c r="B1650" s="72" t="s">
        <v>131</v>
      </c>
      <c r="C1650" s="73" t="s">
        <v>132</v>
      </c>
      <c r="D1650" s="74" t="str">
        <f t="shared" si="51"/>
        <v>jul/2016</v>
      </c>
      <c r="E1650" s="53">
        <v>42552</v>
      </c>
      <c r="F1650" s="75" t="s">
        <v>252</v>
      </c>
      <c r="G1650" s="72"/>
      <c r="H1650" s="49" t="s">
        <v>1252</v>
      </c>
      <c r="I1650" s="49" t="s">
        <v>168</v>
      </c>
      <c r="J1650" s="76">
        <v>-857.36</v>
      </c>
      <c r="K1650" s="83" t="str">
        <f>IFERROR(IFERROR(VLOOKUP(I1650,'DE-PARA'!B:D,3,0),VLOOKUP(I1650,'DE-PARA'!C:D,2,0)),"NÃO ENCONTRADO")</f>
        <v>Pessoal</v>
      </c>
      <c r="L1650" s="50" t="str">
        <f>VLOOKUP(K1650,'Base -Receita-Despesa'!$B:$P,1,FALSE)</f>
        <v>Pessoal</v>
      </c>
    </row>
    <row r="1651" spans="1:12" ht="15" customHeight="1" x14ac:dyDescent="0.3">
      <c r="A1651" s="82" t="str">
        <f t="shared" si="50"/>
        <v>2016</v>
      </c>
      <c r="B1651" s="72" t="s">
        <v>131</v>
      </c>
      <c r="C1651" s="73" t="s">
        <v>132</v>
      </c>
      <c r="D1651" s="74" t="str">
        <f t="shared" si="51"/>
        <v>jul/2016</v>
      </c>
      <c r="E1651" s="53">
        <v>42552</v>
      </c>
      <c r="F1651" s="75" t="s">
        <v>1054</v>
      </c>
      <c r="G1651" s="72"/>
      <c r="H1651" s="49" t="s">
        <v>1055</v>
      </c>
      <c r="I1651" s="49" t="s">
        <v>1056</v>
      </c>
      <c r="J1651" s="76">
        <v>325966.27</v>
      </c>
      <c r="K1651" s="83" t="str">
        <f>IFERROR(IFERROR(VLOOKUP(I1651,'DE-PARA'!B:D,3,0),VLOOKUP(I1651,'DE-PARA'!C:D,2,0)),"NÃO ENCONTRADO")</f>
        <v>ENTRADA CONTA APLICAÇÃO (+)</v>
      </c>
      <c r="L1651" s="50" t="str">
        <f>VLOOKUP(K1651,'Base -Receita-Despesa'!$B:$P,1,FALSE)</f>
        <v>ENTRADA CONTA APLICAÇÃO (+)</v>
      </c>
    </row>
    <row r="1652" spans="1:12" ht="15" customHeight="1" x14ac:dyDescent="0.3">
      <c r="A1652" s="82" t="str">
        <f t="shared" si="50"/>
        <v>2016</v>
      </c>
      <c r="B1652" s="72" t="s">
        <v>131</v>
      </c>
      <c r="C1652" s="73" t="s">
        <v>132</v>
      </c>
      <c r="D1652" s="74" t="str">
        <f t="shared" si="51"/>
        <v>jul/2016</v>
      </c>
      <c r="E1652" s="53">
        <v>42552</v>
      </c>
      <c r="F1652" s="75" t="s">
        <v>133</v>
      </c>
      <c r="G1652" s="72"/>
      <c r="H1652" s="49" t="s">
        <v>1078</v>
      </c>
      <c r="I1652" s="49" t="s">
        <v>135</v>
      </c>
      <c r="J1652" s="76">
        <v>-9880.4699999999993</v>
      </c>
      <c r="K1652" s="83" t="str">
        <f>IFERROR(IFERROR(VLOOKUP(I1652,'DE-PARA'!B:D,3,0),VLOOKUP(I1652,'DE-PARA'!C:D,2,0)),"NÃO ENCONTRADO")</f>
        <v>Pessoal</v>
      </c>
      <c r="L1652" s="50" t="str">
        <f>VLOOKUP(K1652,'Base -Receita-Despesa'!$B:$P,1,FALSE)</f>
        <v>Pessoal</v>
      </c>
    </row>
    <row r="1653" spans="1:12" ht="15" customHeight="1" x14ac:dyDescent="0.3">
      <c r="A1653" s="82" t="str">
        <f t="shared" si="50"/>
        <v>2016</v>
      </c>
      <c r="B1653" s="72" t="s">
        <v>131</v>
      </c>
      <c r="C1653" s="73" t="s">
        <v>132</v>
      </c>
      <c r="D1653" s="74" t="str">
        <f t="shared" si="51"/>
        <v>jul/2016</v>
      </c>
      <c r="E1653" s="53">
        <v>42552</v>
      </c>
      <c r="F1653" s="75" t="s">
        <v>133</v>
      </c>
      <c r="G1653" s="72"/>
      <c r="H1653" s="49" t="s">
        <v>1080</v>
      </c>
      <c r="I1653" s="49" t="s">
        <v>135</v>
      </c>
      <c r="J1653" s="76">
        <v>-2318.9299999999998</v>
      </c>
      <c r="K1653" s="83" t="str">
        <f>IFERROR(IFERROR(VLOOKUP(I1653,'DE-PARA'!B:D,3,0),VLOOKUP(I1653,'DE-PARA'!C:D,2,0)),"NÃO ENCONTRADO")</f>
        <v>Pessoal</v>
      </c>
      <c r="L1653" s="50" t="str">
        <f>VLOOKUP(K1653,'Base -Receita-Despesa'!$B:$P,1,FALSE)</f>
        <v>Pessoal</v>
      </c>
    </row>
    <row r="1654" spans="1:12" ht="15" customHeight="1" x14ac:dyDescent="0.3">
      <c r="A1654" s="82" t="str">
        <f t="shared" si="50"/>
        <v>2016</v>
      </c>
      <c r="B1654" s="72" t="s">
        <v>131</v>
      </c>
      <c r="C1654" s="73" t="s">
        <v>132</v>
      </c>
      <c r="D1654" s="74" t="str">
        <f t="shared" si="51"/>
        <v>jul/2016</v>
      </c>
      <c r="E1654" s="53">
        <v>42555</v>
      </c>
      <c r="F1654" s="75" t="s">
        <v>1253</v>
      </c>
      <c r="G1654" s="72"/>
      <c r="H1654" s="49" t="s">
        <v>140</v>
      </c>
      <c r="I1654" s="49" t="s">
        <v>138</v>
      </c>
      <c r="J1654" s="76">
        <v>-561.6</v>
      </c>
      <c r="K1654" s="83" t="str">
        <f>IFERROR(IFERROR(VLOOKUP(I1654,'DE-PARA'!B:D,3,0),VLOOKUP(I1654,'DE-PARA'!C:D,2,0)),"NÃO ENCONTRADO")</f>
        <v>Serviços</v>
      </c>
      <c r="L1654" s="50" t="str">
        <f>VLOOKUP(K1654,'Base -Receita-Despesa'!$B:$P,1,FALSE)</f>
        <v>Serviços</v>
      </c>
    </row>
    <row r="1655" spans="1:12" ht="15" customHeight="1" x14ac:dyDescent="0.3">
      <c r="A1655" s="82" t="str">
        <f t="shared" si="50"/>
        <v>2016</v>
      </c>
      <c r="B1655" s="72" t="s">
        <v>131</v>
      </c>
      <c r="C1655" s="73" t="s">
        <v>132</v>
      </c>
      <c r="D1655" s="74" t="str">
        <f t="shared" si="51"/>
        <v>jul/2016</v>
      </c>
      <c r="E1655" s="53">
        <v>42555</v>
      </c>
      <c r="F1655" s="75" t="s">
        <v>1054</v>
      </c>
      <c r="G1655" s="72"/>
      <c r="H1655" s="49" t="s">
        <v>1055</v>
      </c>
      <c r="I1655" s="49" t="s">
        <v>1056</v>
      </c>
      <c r="J1655" s="76">
        <v>561.6</v>
      </c>
      <c r="K1655" s="83" t="str">
        <f>IFERROR(IFERROR(VLOOKUP(I1655,'DE-PARA'!B:D,3,0),VLOOKUP(I1655,'DE-PARA'!C:D,2,0)),"NÃO ENCONTRADO")</f>
        <v>ENTRADA CONTA APLICAÇÃO (+)</v>
      </c>
      <c r="L1655" s="50" t="str">
        <f>VLOOKUP(K1655,'Base -Receita-Despesa'!$B:$P,1,FALSE)</f>
        <v>ENTRADA CONTA APLICAÇÃO (+)</v>
      </c>
    </row>
    <row r="1656" spans="1:12" ht="15" customHeight="1" x14ac:dyDescent="0.3">
      <c r="A1656" s="82" t="str">
        <f t="shared" si="50"/>
        <v>2016</v>
      </c>
      <c r="B1656" s="72" t="s">
        <v>131</v>
      </c>
      <c r="C1656" s="73" t="s">
        <v>132</v>
      </c>
      <c r="D1656" s="74" t="str">
        <f t="shared" si="51"/>
        <v>jul/2016</v>
      </c>
      <c r="E1656" s="53">
        <v>42556</v>
      </c>
      <c r="F1656" s="75" t="s">
        <v>1254</v>
      </c>
      <c r="G1656" s="72"/>
      <c r="H1656" s="49" t="s">
        <v>328</v>
      </c>
      <c r="I1656" s="49" t="s">
        <v>159</v>
      </c>
      <c r="J1656" s="76">
        <v>-697</v>
      </c>
      <c r="K1656" s="83" t="str">
        <f>IFERROR(IFERROR(VLOOKUP(I1656,'DE-PARA'!B:D,3,0),VLOOKUP(I1656,'DE-PARA'!C:D,2,0)),"NÃO ENCONTRADO")</f>
        <v>Materiais</v>
      </c>
      <c r="L1656" s="50" t="str">
        <f>VLOOKUP(K1656,'Base -Receita-Despesa'!$B:$P,1,FALSE)</f>
        <v>Materiais</v>
      </c>
    </row>
    <row r="1657" spans="1:12" ht="15" customHeight="1" x14ac:dyDescent="0.3">
      <c r="A1657" s="82" t="str">
        <f t="shared" si="50"/>
        <v>2016</v>
      </c>
      <c r="B1657" s="72" t="s">
        <v>131</v>
      </c>
      <c r="C1657" s="73" t="s">
        <v>132</v>
      </c>
      <c r="D1657" s="74" t="str">
        <f t="shared" si="51"/>
        <v>jul/2016</v>
      </c>
      <c r="E1657" s="53">
        <v>42556</v>
      </c>
      <c r="F1657" s="75" t="s">
        <v>1255</v>
      </c>
      <c r="G1657" s="72"/>
      <c r="H1657" s="49" t="s">
        <v>328</v>
      </c>
      <c r="I1657" s="49" t="s">
        <v>159</v>
      </c>
      <c r="J1657" s="76">
        <v>-1612.91</v>
      </c>
      <c r="K1657" s="83" t="str">
        <f>IFERROR(IFERROR(VLOOKUP(I1657,'DE-PARA'!B:D,3,0),VLOOKUP(I1657,'DE-PARA'!C:D,2,0)),"NÃO ENCONTRADO")</f>
        <v>Materiais</v>
      </c>
      <c r="L1657" s="50" t="str">
        <f>VLOOKUP(K1657,'Base -Receita-Despesa'!$B:$P,1,FALSE)</f>
        <v>Materiais</v>
      </c>
    </row>
    <row r="1658" spans="1:12" ht="15" customHeight="1" x14ac:dyDescent="0.3">
      <c r="A1658" s="82" t="str">
        <f t="shared" si="50"/>
        <v>2016</v>
      </c>
      <c r="B1658" s="72" t="s">
        <v>131</v>
      </c>
      <c r="C1658" s="73" t="s">
        <v>132</v>
      </c>
      <c r="D1658" s="74" t="str">
        <f t="shared" si="51"/>
        <v>jul/2016</v>
      </c>
      <c r="E1658" s="53">
        <v>42556</v>
      </c>
      <c r="F1658" s="75" t="s">
        <v>1256</v>
      </c>
      <c r="G1658" s="72"/>
      <c r="H1658" s="49" t="s">
        <v>382</v>
      </c>
      <c r="I1658" s="49" t="s">
        <v>159</v>
      </c>
      <c r="J1658" s="76">
        <v>-680.42</v>
      </c>
      <c r="K1658" s="83" t="str">
        <f>IFERROR(IFERROR(VLOOKUP(I1658,'DE-PARA'!B:D,3,0),VLOOKUP(I1658,'DE-PARA'!C:D,2,0)),"NÃO ENCONTRADO")</f>
        <v>Materiais</v>
      </c>
      <c r="L1658" s="50" t="str">
        <f>VLOOKUP(K1658,'Base -Receita-Despesa'!$B:$P,1,FALSE)</f>
        <v>Materiais</v>
      </c>
    </row>
    <row r="1659" spans="1:12" ht="15" customHeight="1" x14ac:dyDescent="0.3">
      <c r="A1659" s="82" t="str">
        <f t="shared" si="50"/>
        <v>2016</v>
      </c>
      <c r="B1659" s="72" t="s">
        <v>131</v>
      </c>
      <c r="C1659" s="73" t="s">
        <v>132</v>
      </c>
      <c r="D1659" s="74" t="str">
        <f t="shared" si="51"/>
        <v>jul/2016</v>
      </c>
      <c r="E1659" s="53">
        <v>42556</v>
      </c>
      <c r="F1659" s="75" t="s">
        <v>1257</v>
      </c>
      <c r="G1659" s="72"/>
      <c r="H1659" s="49" t="s">
        <v>246</v>
      </c>
      <c r="I1659" s="49" t="s">
        <v>138</v>
      </c>
      <c r="J1659" s="76">
        <v>-462.56</v>
      </c>
      <c r="K1659" s="83" t="str">
        <f>IFERROR(IFERROR(VLOOKUP(I1659,'DE-PARA'!B:D,3,0),VLOOKUP(I1659,'DE-PARA'!C:D,2,0)),"NÃO ENCONTRADO")</f>
        <v>Serviços</v>
      </c>
      <c r="L1659" s="50" t="str">
        <f>VLOOKUP(K1659,'Base -Receita-Despesa'!$B:$P,1,FALSE)</f>
        <v>Serviços</v>
      </c>
    </row>
    <row r="1660" spans="1:12" ht="15" customHeight="1" x14ac:dyDescent="0.3">
      <c r="A1660" s="82" t="str">
        <f t="shared" si="50"/>
        <v>2016</v>
      </c>
      <c r="B1660" s="72" t="s">
        <v>131</v>
      </c>
      <c r="C1660" s="73" t="s">
        <v>132</v>
      </c>
      <c r="D1660" s="74" t="str">
        <f t="shared" si="51"/>
        <v>jul/2016</v>
      </c>
      <c r="E1660" s="53">
        <v>42556</v>
      </c>
      <c r="F1660" s="75" t="s">
        <v>1054</v>
      </c>
      <c r="G1660" s="72"/>
      <c r="H1660" s="49" t="s">
        <v>1055</v>
      </c>
      <c r="I1660" s="49" t="s">
        <v>1056</v>
      </c>
      <c r="J1660" s="76">
        <v>3640.08</v>
      </c>
      <c r="K1660" s="83" t="str">
        <f>IFERROR(IFERROR(VLOOKUP(I1660,'DE-PARA'!B:D,3,0),VLOOKUP(I1660,'DE-PARA'!C:D,2,0)),"NÃO ENCONTRADO")</f>
        <v>ENTRADA CONTA APLICAÇÃO (+)</v>
      </c>
      <c r="L1660" s="50" t="str">
        <f>VLOOKUP(K1660,'Base -Receita-Despesa'!$B:$P,1,FALSE)</f>
        <v>ENTRADA CONTA APLICAÇÃO (+)</v>
      </c>
    </row>
    <row r="1661" spans="1:12" ht="15" customHeight="1" x14ac:dyDescent="0.3">
      <c r="A1661" s="82" t="str">
        <f t="shared" si="50"/>
        <v>2016</v>
      </c>
      <c r="B1661" s="72" t="s">
        <v>131</v>
      </c>
      <c r="C1661" s="73" t="s">
        <v>132</v>
      </c>
      <c r="D1661" s="74" t="str">
        <f t="shared" si="51"/>
        <v>jul/2016</v>
      </c>
      <c r="E1661" s="53">
        <v>42556</v>
      </c>
      <c r="F1661" s="75" t="s">
        <v>199</v>
      </c>
      <c r="G1661" s="72"/>
      <c r="H1661" s="49" t="s">
        <v>383</v>
      </c>
      <c r="I1661" s="49" t="s">
        <v>192</v>
      </c>
      <c r="J1661" s="76">
        <v>-55.58</v>
      </c>
      <c r="K1661" s="83" t="str">
        <f>IFERROR(IFERROR(VLOOKUP(I1661,'DE-PARA'!B:D,3,0),VLOOKUP(I1661,'DE-PARA'!C:D,2,0)),"NÃO ENCONTRADO")</f>
        <v>Materiais</v>
      </c>
      <c r="L1661" s="50" t="str">
        <f>VLOOKUP(K1661,'Base -Receita-Despesa'!$B:$P,1,FALSE)</f>
        <v>Materiais</v>
      </c>
    </row>
    <row r="1662" spans="1:12" ht="15" customHeight="1" x14ac:dyDescent="0.3">
      <c r="A1662" s="82" t="str">
        <f t="shared" si="50"/>
        <v>2016</v>
      </c>
      <c r="B1662" s="72" t="s">
        <v>131</v>
      </c>
      <c r="C1662" s="73" t="s">
        <v>132</v>
      </c>
      <c r="D1662" s="74" t="str">
        <f t="shared" si="51"/>
        <v>jul/2016</v>
      </c>
      <c r="E1662" s="53">
        <v>42556</v>
      </c>
      <c r="F1662" s="75" t="s">
        <v>840</v>
      </c>
      <c r="G1662" s="72"/>
      <c r="H1662" s="49" t="s">
        <v>1258</v>
      </c>
      <c r="I1662" s="49" t="s">
        <v>129</v>
      </c>
      <c r="J1662" s="76">
        <v>-131.61000000000001</v>
      </c>
      <c r="K1662" s="83" t="str">
        <f>IFERROR(IFERROR(VLOOKUP(I1662,'DE-PARA'!B:D,3,0),VLOOKUP(I1662,'DE-PARA'!C:D,2,0)),"NÃO ENCONTRADO")</f>
        <v>Outras Saídas</v>
      </c>
      <c r="L1662" s="50" t="str">
        <f>VLOOKUP(K1662,'Base -Receita-Despesa'!$B:$P,1,FALSE)</f>
        <v>Outras Saídas</v>
      </c>
    </row>
    <row r="1663" spans="1:12" ht="15" customHeight="1" x14ac:dyDescent="0.3">
      <c r="A1663" s="82" t="str">
        <f t="shared" si="50"/>
        <v>2016</v>
      </c>
      <c r="B1663" s="72" t="s">
        <v>131</v>
      </c>
      <c r="C1663" s="73" t="s">
        <v>132</v>
      </c>
      <c r="D1663" s="74" t="str">
        <f t="shared" si="51"/>
        <v>jul/2016</v>
      </c>
      <c r="E1663" s="53">
        <v>42557</v>
      </c>
      <c r="F1663" s="75" t="s">
        <v>924</v>
      </c>
      <c r="G1663" s="72"/>
      <c r="H1663" s="49" t="s">
        <v>187</v>
      </c>
      <c r="I1663" s="49" t="s">
        <v>159</v>
      </c>
      <c r="J1663" s="76">
        <v>-1601.1</v>
      </c>
      <c r="K1663" s="83" t="str">
        <f>IFERROR(IFERROR(VLOOKUP(I1663,'DE-PARA'!B:D,3,0),VLOOKUP(I1663,'DE-PARA'!C:D,2,0)),"NÃO ENCONTRADO")</f>
        <v>Materiais</v>
      </c>
      <c r="L1663" s="50" t="str">
        <f>VLOOKUP(K1663,'Base -Receita-Despesa'!$B:$P,1,FALSE)</f>
        <v>Materiais</v>
      </c>
    </row>
    <row r="1664" spans="1:12" ht="15" customHeight="1" x14ac:dyDescent="0.3">
      <c r="A1664" s="82" t="str">
        <f t="shared" si="50"/>
        <v>2016</v>
      </c>
      <c r="B1664" s="72" t="s">
        <v>249</v>
      </c>
      <c r="C1664" s="73" t="s">
        <v>132</v>
      </c>
      <c r="D1664" s="74" t="str">
        <f t="shared" si="51"/>
        <v>jul/2016</v>
      </c>
      <c r="E1664" s="53">
        <v>42557</v>
      </c>
      <c r="F1664" s="75" t="s">
        <v>154</v>
      </c>
      <c r="G1664" s="72"/>
      <c r="H1664" s="49" t="s">
        <v>154</v>
      </c>
      <c r="I1664" s="49" t="s">
        <v>1497</v>
      </c>
      <c r="J1664" s="76">
        <v>38730</v>
      </c>
      <c r="K1664" s="83" t="str">
        <f>IFERROR(IFERROR(VLOOKUP(I1664,'DE-PARA'!B:D,3,0),VLOOKUP(I1664,'DE-PARA'!C:D,2,0)),"NÃO ENCONTRADO")</f>
        <v>Repasses Contrato de Gestão</v>
      </c>
      <c r="L1664" s="50" t="str">
        <f>VLOOKUP(K1664,'Base -Receita-Despesa'!$B:$P,1,FALSE)</f>
        <v>Repasses Contrato de Gestão</v>
      </c>
    </row>
    <row r="1665" spans="1:12" ht="15" customHeight="1" x14ac:dyDescent="0.3">
      <c r="A1665" s="82" t="str">
        <f t="shared" si="50"/>
        <v>2016</v>
      </c>
      <c r="B1665" s="72" t="s">
        <v>249</v>
      </c>
      <c r="C1665" s="73" t="s">
        <v>132</v>
      </c>
      <c r="D1665" s="74" t="str">
        <f t="shared" si="51"/>
        <v>jul/2016</v>
      </c>
      <c r="E1665" s="53">
        <v>42557</v>
      </c>
      <c r="F1665" s="75" t="s">
        <v>154</v>
      </c>
      <c r="G1665" s="72"/>
      <c r="H1665" s="49" t="s">
        <v>154</v>
      </c>
      <c r="I1665" s="49" t="s">
        <v>1497</v>
      </c>
      <c r="J1665" s="76">
        <v>270</v>
      </c>
      <c r="K1665" s="83" t="str">
        <f>IFERROR(IFERROR(VLOOKUP(I1665,'DE-PARA'!B:D,3,0),VLOOKUP(I1665,'DE-PARA'!C:D,2,0)),"NÃO ENCONTRADO")</f>
        <v>Repasses Contrato de Gestão</v>
      </c>
      <c r="L1665" s="50" t="str">
        <f>VLOOKUP(K1665,'Base -Receita-Despesa'!$B:$P,1,FALSE)</f>
        <v>Repasses Contrato de Gestão</v>
      </c>
    </row>
    <row r="1666" spans="1:12" ht="15" customHeight="1" x14ac:dyDescent="0.3">
      <c r="A1666" s="82" t="str">
        <f t="shared" si="50"/>
        <v>2016</v>
      </c>
      <c r="B1666" s="72" t="s">
        <v>249</v>
      </c>
      <c r="C1666" s="73" t="s">
        <v>132</v>
      </c>
      <c r="D1666" s="74" t="str">
        <f t="shared" si="51"/>
        <v>jul/2016</v>
      </c>
      <c r="E1666" s="53">
        <v>42557</v>
      </c>
      <c r="F1666" s="75" t="s">
        <v>1045</v>
      </c>
      <c r="G1666" s="72"/>
      <c r="H1666" s="49" t="s">
        <v>1243</v>
      </c>
      <c r="I1666" s="49" t="s">
        <v>121</v>
      </c>
      <c r="J1666" s="76">
        <v>-39000</v>
      </c>
      <c r="K1666" s="83" t="s">
        <v>93</v>
      </c>
      <c r="L1666" s="50" t="str">
        <f>VLOOKUP(K1666,'Base -Receita-Despesa'!$B:$P,1,FALSE)</f>
        <v>Transferências da c/c para c/a ou c/p (-)</v>
      </c>
    </row>
    <row r="1667" spans="1:12" ht="15" customHeight="1" x14ac:dyDescent="0.3">
      <c r="A1667" s="82" t="str">
        <f t="shared" si="50"/>
        <v>2016</v>
      </c>
      <c r="B1667" s="72" t="s">
        <v>131</v>
      </c>
      <c r="C1667" s="73" t="s">
        <v>132</v>
      </c>
      <c r="D1667" s="74" t="str">
        <f t="shared" si="51"/>
        <v>jul/2016</v>
      </c>
      <c r="E1667" s="53">
        <v>42557</v>
      </c>
      <c r="F1667" s="75" t="s">
        <v>1259</v>
      </c>
      <c r="G1667" s="72"/>
      <c r="H1667" s="49" t="s">
        <v>141</v>
      </c>
      <c r="I1667" s="49" t="s">
        <v>111</v>
      </c>
      <c r="J1667" s="76">
        <v>-1781</v>
      </c>
      <c r="K1667" s="83" t="str">
        <f>IFERROR(IFERROR(VLOOKUP(I1667,'DE-PARA'!B:D,3,0),VLOOKUP(I1667,'DE-PARA'!C:D,2,0)),"NÃO ENCONTRADO")</f>
        <v>Serviços</v>
      </c>
      <c r="L1667" s="50" t="str">
        <f>VLOOKUP(K1667,'Base -Receita-Despesa'!$B:$P,1,FALSE)</f>
        <v>Serviços</v>
      </c>
    </row>
    <row r="1668" spans="1:12" ht="15" customHeight="1" x14ac:dyDescent="0.3">
      <c r="A1668" s="82" t="str">
        <f t="shared" ref="A1668:A1731" si="52">IF(K1668="NÃO ENCONTRADO",0,RIGHT(D1668,4))</f>
        <v>2016</v>
      </c>
      <c r="B1668" s="72" t="s">
        <v>131</v>
      </c>
      <c r="C1668" s="73" t="s">
        <v>132</v>
      </c>
      <c r="D1668" s="74" t="str">
        <f t="shared" ref="D1668:D1731" si="53">TEXT(E1668,"mmm/aaaa")</f>
        <v>jul/2016</v>
      </c>
      <c r="E1668" s="53">
        <v>42557</v>
      </c>
      <c r="F1668" s="75" t="s">
        <v>1260</v>
      </c>
      <c r="G1668" s="72"/>
      <c r="H1668" s="49" t="s">
        <v>141</v>
      </c>
      <c r="I1668" s="49" t="s">
        <v>111</v>
      </c>
      <c r="J1668" s="76">
        <v>-8960.4</v>
      </c>
      <c r="K1668" s="83" t="str">
        <f>IFERROR(IFERROR(VLOOKUP(I1668,'DE-PARA'!B:D,3,0),VLOOKUP(I1668,'DE-PARA'!C:D,2,0)),"NÃO ENCONTRADO")</f>
        <v>Serviços</v>
      </c>
      <c r="L1668" s="50" t="str">
        <f>VLOOKUP(K1668,'Base -Receita-Despesa'!$B:$P,1,FALSE)</f>
        <v>Serviços</v>
      </c>
    </row>
    <row r="1669" spans="1:12" ht="15" customHeight="1" x14ac:dyDescent="0.3">
      <c r="A1669" s="82" t="str">
        <f t="shared" si="52"/>
        <v>2016</v>
      </c>
      <c r="B1669" s="72" t="s">
        <v>131</v>
      </c>
      <c r="C1669" s="73" t="s">
        <v>132</v>
      </c>
      <c r="D1669" s="74" t="str">
        <f t="shared" si="53"/>
        <v>jul/2016</v>
      </c>
      <c r="E1669" s="53">
        <v>42557</v>
      </c>
      <c r="F1669" s="75" t="s">
        <v>122</v>
      </c>
      <c r="G1669" s="72"/>
      <c r="H1669" s="49" t="s">
        <v>1261</v>
      </c>
      <c r="I1669" s="49" t="s">
        <v>122</v>
      </c>
      <c r="J1669" s="76">
        <v>-33635.9</v>
      </c>
      <c r="K1669" s="83" t="str">
        <f>IFERROR(IFERROR(VLOOKUP(I1669,'DE-PARA'!B:D,3,0),VLOOKUP(I1669,'DE-PARA'!C:D,2,0)),"NÃO ENCONTRADO")</f>
        <v>Encargos sobre Folha de Pagamento</v>
      </c>
      <c r="L1669" s="50" t="str">
        <f>VLOOKUP(K1669,'Base -Receita-Despesa'!$B:$P,1,FALSE)</f>
        <v>Encargos sobre Folha de Pagamento</v>
      </c>
    </row>
    <row r="1670" spans="1:12" ht="15" customHeight="1" x14ac:dyDescent="0.3">
      <c r="A1670" s="82" t="str">
        <f t="shared" si="52"/>
        <v>2016</v>
      </c>
      <c r="B1670" s="72" t="s">
        <v>131</v>
      </c>
      <c r="C1670" s="73" t="s">
        <v>132</v>
      </c>
      <c r="D1670" s="74" t="str">
        <f t="shared" si="53"/>
        <v>jul/2016</v>
      </c>
      <c r="E1670" s="53">
        <v>42557</v>
      </c>
      <c r="F1670" s="75" t="s">
        <v>1054</v>
      </c>
      <c r="G1670" s="72"/>
      <c r="H1670" s="49" t="s">
        <v>1055</v>
      </c>
      <c r="I1670" s="49" t="s">
        <v>1056</v>
      </c>
      <c r="J1670" s="76">
        <v>7286.2</v>
      </c>
      <c r="K1670" s="83" t="str">
        <f>IFERROR(IFERROR(VLOOKUP(I1670,'DE-PARA'!B:D,3,0),VLOOKUP(I1670,'DE-PARA'!C:D,2,0)),"NÃO ENCONTRADO")</f>
        <v>ENTRADA CONTA APLICAÇÃO (+)</v>
      </c>
      <c r="L1670" s="50" t="str">
        <f>VLOOKUP(K1670,'Base -Receita-Despesa'!$B:$P,1,FALSE)</f>
        <v>ENTRADA CONTA APLICAÇÃO (+)</v>
      </c>
    </row>
    <row r="1671" spans="1:12" ht="15" customHeight="1" x14ac:dyDescent="0.3">
      <c r="A1671" s="82" t="str">
        <f t="shared" si="52"/>
        <v>2016</v>
      </c>
      <c r="B1671" s="72" t="s">
        <v>131</v>
      </c>
      <c r="C1671" s="73" t="s">
        <v>132</v>
      </c>
      <c r="D1671" s="74" t="str">
        <f t="shared" si="53"/>
        <v>jul/2016</v>
      </c>
      <c r="E1671" s="53">
        <v>42557</v>
      </c>
      <c r="F1671" s="75" t="s">
        <v>1045</v>
      </c>
      <c r="G1671" s="72"/>
      <c r="H1671" s="49" t="s">
        <v>1046</v>
      </c>
      <c r="I1671" s="49" t="s">
        <v>121</v>
      </c>
      <c r="J1671" s="76">
        <v>39000</v>
      </c>
      <c r="K1671" s="83" t="s">
        <v>93</v>
      </c>
      <c r="L1671" s="50" t="str">
        <f>VLOOKUP(K1671,'Base -Receita-Despesa'!$B:$P,1,FALSE)</f>
        <v>Transferências da c/c para c/a ou c/p (-)</v>
      </c>
    </row>
    <row r="1672" spans="1:12" ht="15" customHeight="1" x14ac:dyDescent="0.3">
      <c r="A1672" s="82" t="str">
        <f t="shared" si="52"/>
        <v>2016</v>
      </c>
      <c r="B1672" s="72" t="s">
        <v>131</v>
      </c>
      <c r="C1672" s="73" t="s">
        <v>132</v>
      </c>
      <c r="D1672" s="74" t="str">
        <f t="shared" si="53"/>
        <v>jul/2016</v>
      </c>
      <c r="E1672" s="53">
        <v>42557</v>
      </c>
      <c r="F1672" s="75" t="s">
        <v>1436</v>
      </c>
      <c r="G1672" s="72"/>
      <c r="H1672" s="49" t="s">
        <v>187</v>
      </c>
      <c r="I1672" s="49" t="s">
        <v>159</v>
      </c>
      <c r="J1672" s="76">
        <v>-210</v>
      </c>
      <c r="K1672" s="83" t="str">
        <f>IFERROR(IFERROR(VLOOKUP(I1672,'DE-PARA'!B:D,3,0),VLOOKUP(I1672,'DE-PARA'!C:D,2,0)),"NÃO ENCONTRADO")</f>
        <v>Materiais</v>
      </c>
      <c r="L1672" s="50" t="str">
        <f>VLOOKUP(K1672,'Base -Receita-Despesa'!$B:$P,1,FALSE)</f>
        <v>Materiais</v>
      </c>
    </row>
    <row r="1673" spans="1:12" ht="15" customHeight="1" x14ac:dyDescent="0.3">
      <c r="A1673" s="82" t="str">
        <f t="shared" si="52"/>
        <v>2016</v>
      </c>
      <c r="B1673" s="72" t="s">
        <v>131</v>
      </c>
      <c r="C1673" s="73" t="s">
        <v>132</v>
      </c>
      <c r="D1673" s="74" t="str">
        <f t="shared" si="53"/>
        <v>jul/2016</v>
      </c>
      <c r="E1673" s="53">
        <v>42557</v>
      </c>
      <c r="F1673" s="75" t="s">
        <v>1490</v>
      </c>
      <c r="G1673" s="72"/>
      <c r="H1673" s="49" t="s">
        <v>187</v>
      </c>
      <c r="I1673" s="49" t="s">
        <v>159</v>
      </c>
      <c r="J1673" s="76">
        <v>-97.8</v>
      </c>
      <c r="K1673" s="83" t="str">
        <f>IFERROR(IFERROR(VLOOKUP(I1673,'DE-PARA'!B:D,3,0),VLOOKUP(I1673,'DE-PARA'!C:D,2,0)),"NÃO ENCONTRADO")</f>
        <v>Materiais</v>
      </c>
      <c r="L1673" s="50" t="str">
        <f>VLOOKUP(K1673,'Base -Receita-Despesa'!$B:$P,1,FALSE)</f>
        <v>Materiais</v>
      </c>
    </row>
    <row r="1674" spans="1:12" ht="15" customHeight="1" x14ac:dyDescent="0.3">
      <c r="A1674" s="82" t="str">
        <f t="shared" si="52"/>
        <v>2016</v>
      </c>
      <c r="B1674" s="72" t="s">
        <v>131</v>
      </c>
      <c r="C1674" s="73" t="s">
        <v>132</v>
      </c>
      <c r="D1674" s="74" t="str">
        <f t="shared" si="53"/>
        <v>jul/2016</v>
      </c>
      <c r="E1674" s="53">
        <v>42558</v>
      </c>
      <c r="F1674" s="75" t="s">
        <v>1262</v>
      </c>
      <c r="G1674" s="72"/>
      <c r="H1674" s="49" t="s">
        <v>328</v>
      </c>
      <c r="I1674" s="49" t="s">
        <v>159</v>
      </c>
      <c r="J1674" s="76">
        <v>-1833.13</v>
      </c>
      <c r="K1674" s="83" t="str">
        <f>IFERROR(IFERROR(VLOOKUP(I1674,'DE-PARA'!B:D,3,0),VLOOKUP(I1674,'DE-PARA'!C:D,2,0)),"NÃO ENCONTRADO")</f>
        <v>Materiais</v>
      </c>
      <c r="L1674" s="50" t="str">
        <f>VLOOKUP(K1674,'Base -Receita-Despesa'!$B:$P,1,FALSE)</f>
        <v>Materiais</v>
      </c>
    </row>
    <row r="1675" spans="1:12" ht="15" customHeight="1" x14ac:dyDescent="0.3">
      <c r="A1675" s="82" t="str">
        <f t="shared" si="52"/>
        <v>2016</v>
      </c>
      <c r="B1675" s="72" t="s">
        <v>131</v>
      </c>
      <c r="C1675" s="73" t="s">
        <v>132</v>
      </c>
      <c r="D1675" s="74" t="str">
        <f t="shared" si="53"/>
        <v>jul/2016</v>
      </c>
      <c r="E1675" s="53">
        <v>42558</v>
      </c>
      <c r="F1675" s="75" t="s">
        <v>199</v>
      </c>
      <c r="G1675" s="72"/>
      <c r="H1675" s="49" t="s">
        <v>1263</v>
      </c>
      <c r="I1675" s="49" t="s">
        <v>192</v>
      </c>
      <c r="J1675" s="76">
        <v>-18.149999999999999</v>
      </c>
      <c r="K1675" s="83" t="str">
        <f>IFERROR(IFERROR(VLOOKUP(I1675,'DE-PARA'!B:D,3,0),VLOOKUP(I1675,'DE-PARA'!C:D,2,0)),"NÃO ENCONTRADO")</f>
        <v>Materiais</v>
      </c>
      <c r="L1675" s="50" t="str">
        <f>VLOOKUP(K1675,'Base -Receita-Despesa'!$B:$P,1,FALSE)</f>
        <v>Materiais</v>
      </c>
    </row>
    <row r="1676" spans="1:12" ht="15" customHeight="1" x14ac:dyDescent="0.3">
      <c r="A1676" s="82" t="str">
        <f t="shared" si="52"/>
        <v>2016</v>
      </c>
      <c r="B1676" s="72" t="s">
        <v>131</v>
      </c>
      <c r="C1676" s="73" t="s">
        <v>132</v>
      </c>
      <c r="D1676" s="74" t="str">
        <f t="shared" si="53"/>
        <v>jul/2016</v>
      </c>
      <c r="E1676" s="53">
        <v>42558</v>
      </c>
      <c r="F1676" s="75" t="s">
        <v>1054</v>
      </c>
      <c r="G1676" s="72"/>
      <c r="H1676" s="49" t="s">
        <v>1055</v>
      </c>
      <c r="I1676" s="49" t="s">
        <v>1056</v>
      </c>
      <c r="J1676" s="76">
        <v>30818.84</v>
      </c>
      <c r="K1676" s="83" t="str">
        <f>IFERROR(IFERROR(VLOOKUP(I1676,'DE-PARA'!B:D,3,0),VLOOKUP(I1676,'DE-PARA'!C:D,2,0)),"NÃO ENCONTRADO")</f>
        <v>ENTRADA CONTA APLICAÇÃO (+)</v>
      </c>
      <c r="L1676" s="50" t="str">
        <f>VLOOKUP(K1676,'Base -Receita-Despesa'!$B:$P,1,FALSE)</f>
        <v>ENTRADA CONTA APLICAÇÃO (+)</v>
      </c>
    </row>
    <row r="1677" spans="1:12" ht="15" customHeight="1" x14ac:dyDescent="0.3">
      <c r="A1677" s="82" t="str">
        <f t="shared" si="52"/>
        <v>2016</v>
      </c>
      <c r="B1677" s="72" t="s">
        <v>131</v>
      </c>
      <c r="C1677" s="73" t="s">
        <v>132</v>
      </c>
      <c r="D1677" s="74" t="str">
        <f t="shared" si="53"/>
        <v>jul/2016</v>
      </c>
      <c r="E1677" s="53">
        <v>42558</v>
      </c>
      <c r="F1677" s="75" t="s">
        <v>1264</v>
      </c>
      <c r="G1677" s="72"/>
      <c r="H1677" s="49" t="s">
        <v>172</v>
      </c>
      <c r="I1677" s="49" t="s">
        <v>173</v>
      </c>
      <c r="J1677" s="76">
        <v>-10923.98</v>
      </c>
      <c r="K1677" s="83" t="str">
        <f>IFERROR(IFERROR(VLOOKUP(I1677,'DE-PARA'!B:D,3,0),VLOOKUP(I1677,'DE-PARA'!C:D,2,0)),"NÃO ENCONTRADO")</f>
        <v>Serviços</v>
      </c>
      <c r="L1677" s="50" t="str">
        <f>VLOOKUP(K1677,'Base -Receita-Despesa'!$B:$P,1,FALSE)</f>
        <v>Serviços</v>
      </c>
    </row>
    <row r="1678" spans="1:12" ht="15" customHeight="1" x14ac:dyDescent="0.3">
      <c r="A1678" s="82" t="str">
        <f t="shared" si="52"/>
        <v>2016</v>
      </c>
      <c r="B1678" s="72" t="s">
        <v>131</v>
      </c>
      <c r="C1678" s="73" t="s">
        <v>132</v>
      </c>
      <c r="D1678" s="74" t="str">
        <f t="shared" si="53"/>
        <v>jul/2016</v>
      </c>
      <c r="E1678" s="53">
        <v>42558</v>
      </c>
      <c r="F1678" s="75" t="s">
        <v>1265</v>
      </c>
      <c r="G1678" s="72"/>
      <c r="H1678" s="49" t="s">
        <v>172</v>
      </c>
      <c r="I1678" s="49" t="s">
        <v>173</v>
      </c>
      <c r="J1678" s="76">
        <v>-18043.580000000002</v>
      </c>
      <c r="K1678" s="83" t="str">
        <f>IFERROR(IFERROR(VLOOKUP(I1678,'DE-PARA'!B:D,3,0),VLOOKUP(I1678,'DE-PARA'!C:D,2,0)),"NÃO ENCONTRADO")</f>
        <v>Serviços</v>
      </c>
      <c r="L1678" s="50" t="str">
        <f>VLOOKUP(K1678,'Base -Receita-Despesa'!$B:$P,1,FALSE)</f>
        <v>Serviços</v>
      </c>
    </row>
    <row r="1679" spans="1:12" ht="15" customHeight="1" x14ac:dyDescent="0.3">
      <c r="A1679" s="82" t="str">
        <f t="shared" si="52"/>
        <v>2016</v>
      </c>
      <c r="B1679" s="72" t="s">
        <v>131</v>
      </c>
      <c r="C1679" s="73" t="s">
        <v>132</v>
      </c>
      <c r="D1679" s="74" t="str">
        <f t="shared" si="53"/>
        <v>jul/2016</v>
      </c>
      <c r="E1679" s="53">
        <v>42559</v>
      </c>
      <c r="F1679" s="75" t="s">
        <v>1266</v>
      </c>
      <c r="G1679" s="72"/>
      <c r="H1679" s="49" t="s">
        <v>1267</v>
      </c>
      <c r="I1679" s="49" t="s">
        <v>317</v>
      </c>
      <c r="J1679" s="76">
        <v>-231</v>
      </c>
      <c r="K1679" s="83" t="str">
        <f>IFERROR(IFERROR(VLOOKUP(I1679,'DE-PARA'!B:D,3,0),VLOOKUP(I1679,'DE-PARA'!C:D,2,0)),"NÃO ENCONTRADO")</f>
        <v>Investimentos</v>
      </c>
      <c r="L1679" s="50" t="str">
        <f>VLOOKUP(K1679,'Base -Receita-Despesa'!$B:$P,1,FALSE)</f>
        <v>Investimentos</v>
      </c>
    </row>
    <row r="1680" spans="1:12" ht="15" customHeight="1" x14ac:dyDescent="0.3">
      <c r="A1680" s="82" t="str">
        <f t="shared" si="52"/>
        <v>2016</v>
      </c>
      <c r="B1680" s="72" t="s">
        <v>131</v>
      </c>
      <c r="C1680" s="73" t="s">
        <v>132</v>
      </c>
      <c r="D1680" s="74" t="str">
        <f t="shared" si="53"/>
        <v>jul/2016</v>
      </c>
      <c r="E1680" s="53">
        <v>42559</v>
      </c>
      <c r="F1680" s="75" t="s">
        <v>1268</v>
      </c>
      <c r="G1680" s="72"/>
      <c r="H1680" s="49" t="s">
        <v>1269</v>
      </c>
      <c r="I1680" s="49" t="s">
        <v>159</v>
      </c>
      <c r="J1680" s="76">
        <v>-1023.2</v>
      </c>
      <c r="K1680" s="83" t="str">
        <f>IFERROR(IFERROR(VLOOKUP(I1680,'DE-PARA'!B:D,3,0),VLOOKUP(I1680,'DE-PARA'!C:D,2,0)),"NÃO ENCONTRADO")</f>
        <v>Materiais</v>
      </c>
      <c r="L1680" s="50" t="str">
        <f>VLOOKUP(K1680,'Base -Receita-Despesa'!$B:$P,1,FALSE)</f>
        <v>Materiais</v>
      </c>
    </row>
    <row r="1681" spans="1:12" ht="15" customHeight="1" x14ac:dyDescent="0.3">
      <c r="A1681" s="82" t="str">
        <f t="shared" si="52"/>
        <v>2016</v>
      </c>
      <c r="B1681" s="72" t="s">
        <v>131</v>
      </c>
      <c r="C1681" s="73" t="s">
        <v>132</v>
      </c>
      <c r="D1681" s="74" t="str">
        <f t="shared" si="53"/>
        <v>jul/2016</v>
      </c>
      <c r="E1681" s="53">
        <v>42559</v>
      </c>
      <c r="F1681" s="75" t="s">
        <v>1054</v>
      </c>
      <c r="G1681" s="72"/>
      <c r="H1681" s="49" t="s">
        <v>1055</v>
      </c>
      <c r="I1681" s="49" t="s">
        <v>1056</v>
      </c>
      <c r="J1681" s="76">
        <v>3823.84</v>
      </c>
      <c r="K1681" s="83" t="str">
        <f>IFERROR(IFERROR(VLOOKUP(I1681,'DE-PARA'!B:D,3,0),VLOOKUP(I1681,'DE-PARA'!C:D,2,0)),"NÃO ENCONTRADO")</f>
        <v>ENTRADA CONTA APLICAÇÃO (+)</v>
      </c>
      <c r="L1681" s="50" t="str">
        <f>VLOOKUP(K1681,'Base -Receita-Despesa'!$B:$P,1,FALSE)</f>
        <v>ENTRADA CONTA APLICAÇÃO (+)</v>
      </c>
    </row>
    <row r="1682" spans="1:12" ht="15" customHeight="1" x14ac:dyDescent="0.3">
      <c r="A1682" s="82" t="str">
        <f t="shared" si="52"/>
        <v>2016</v>
      </c>
      <c r="B1682" s="72" t="s">
        <v>131</v>
      </c>
      <c r="C1682" s="73" t="s">
        <v>132</v>
      </c>
      <c r="D1682" s="74" t="str">
        <f t="shared" si="53"/>
        <v>jul/2016</v>
      </c>
      <c r="E1682" s="53">
        <v>42559</v>
      </c>
      <c r="F1682" s="75" t="s">
        <v>146</v>
      </c>
      <c r="G1682" s="72"/>
      <c r="H1682" s="49" t="s">
        <v>147</v>
      </c>
      <c r="I1682" s="49" t="s">
        <v>148</v>
      </c>
      <c r="J1682" s="76">
        <v>-2569.64</v>
      </c>
      <c r="K1682" s="83" t="str">
        <f>IFERROR(IFERROR(VLOOKUP(I1682,'DE-PARA'!B:D,3,0),VLOOKUP(I1682,'DE-PARA'!C:D,2,0)),"NÃO ENCONTRADO")</f>
        <v>Concessionárias (água, luz e telefone)</v>
      </c>
      <c r="L1682" s="50" t="str">
        <f>VLOOKUP(K1682,'Base -Receita-Despesa'!$B:$P,1,FALSE)</f>
        <v>Concessionárias (água, luz e telefone)</v>
      </c>
    </row>
    <row r="1683" spans="1:12" ht="15" customHeight="1" x14ac:dyDescent="0.3">
      <c r="A1683" s="82" t="str">
        <f t="shared" si="52"/>
        <v>2016</v>
      </c>
      <c r="B1683" s="72" t="s">
        <v>131</v>
      </c>
      <c r="C1683" s="73" t="s">
        <v>132</v>
      </c>
      <c r="D1683" s="74" t="str">
        <f t="shared" si="53"/>
        <v>jul/2016</v>
      </c>
      <c r="E1683" s="53">
        <v>42562</v>
      </c>
      <c r="F1683" s="75" t="s">
        <v>584</v>
      </c>
      <c r="G1683" s="72"/>
      <c r="H1683" s="49" t="s">
        <v>187</v>
      </c>
      <c r="I1683" s="49" t="s">
        <v>110</v>
      </c>
      <c r="J1683" s="76">
        <v>-2700</v>
      </c>
      <c r="K1683" s="83" t="str">
        <f>IFERROR(IFERROR(VLOOKUP(I1683,'DE-PARA'!B:D,3,0),VLOOKUP(I1683,'DE-PARA'!C:D,2,0)),"NÃO ENCONTRADO")</f>
        <v>Serviços</v>
      </c>
      <c r="L1683" s="50" t="str">
        <f>VLOOKUP(K1683,'Base -Receita-Despesa'!$B:$P,1,FALSE)</f>
        <v>Serviços</v>
      </c>
    </row>
    <row r="1684" spans="1:12" ht="15" customHeight="1" x14ac:dyDescent="0.3">
      <c r="A1684" s="82" t="str">
        <f t="shared" si="52"/>
        <v>2016</v>
      </c>
      <c r="B1684" s="72" t="s">
        <v>249</v>
      </c>
      <c r="C1684" s="73" t="s">
        <v>132</v>
      </c>
      <c r="D1684" s="74" t="str">
        <f t="shared" si="53"/>
        <v>jul/2016</v>
      </c>
      <c r="E1684" s="53">
        <v>42562</v>
      </c>
      <c r="F1684" s="75" t="s">
        <v>154</v>
      </c>
      <c r="G1684" s="72"/>
      <c r="H1684" s="49" t="s">
        <v>154</v>
      </c>
      <c r="I1684" s="49" t="s">
        <v>1497</v>
      </c>
      <c r="J1684" s="76">
        <v>10911.02</v>
      </c>
      <c r="K1684" s="83" t="str">
        <f>IFERROR(IFERROR(VLOOKUP(I1684,'DE-PARA'!B:D,3,0),VLOOKUP(I1684,'DE-PARA'!C:D,2,0)),"NÃO ENCONTRADO")</f>
        <v>Repasses Contrato de Gestão</v>
      </c>
      <c r="L1684" s="50" t="str">
        <f>VLOOKUP(K1684,'Base -Receita-Despesa'!$B:$P,1,FALSE)</f>
        <v>Repasses Contrato de Gestão</v>
      </c>
    </row>
    <row r="1685" spans="1:12" ht="15" customHeight="1" x14ac:dyDescent="0.3">
      <c r="A1685" s="82" t="str">
        <f t="shared" si="52"/>
        <v>2016</v>
      </c>
      <c r="B1685" s="72" t="s">
        <v>249</v>
      </c>
      <c r="C1685" s="73" t="s">
        <v>132</v>
      </c>
      <c r="D1685" s="74" t="str">
        <f t="shared" si="53"/>
        <v>jul/2016</v>
      </c>
      <c r="E1685" s="53">
        <v>42562</v>
      </c>
      <c r="F1685" s="75" t="s">
        <v>1045</v>
      </c>
      <c r="G1685" s="72"/>
      <c r="H1685" s="49" t="s">
        <v>1243</v>
      </c>
      <c r="I1685" s="49" t="s">
        <v>121</v>
      </c>
      <c r="J1685" s="76">
        <v>-10911.02</v>
      </c>
      <c r="K1685" s="83" t="s">
        <v>93</v>
      </c>
      <c r="L1685" s="50" t="str">
        <f>VLOOKUP(K1685,'Base -Receita-Despesa'!$B:$P,1,FALSE)</f>
        <v>Transferências da c/c para c/a ou c/p (-)</v>
      </c>
    </row>
    <row r="1686" spans="1:12" ht="15" customHeight="1" x14ac:dyDescent="0.3">
      <c r="A1686" s="82" t="str">
        <f t="shared" si="52"/>
        <v>2016</v>
      </c>
      <c r="B1686" s="72" t="s">
        <v>131</v>
      </c>
      <c r="C1686" s="73" t="s">
        <v>132</v>
      </c>
      <c r="D1686" s="74" t="str">
        <f t="shared" si="53"/>
        <v>jul/2016</v>
      </c>
      <c r="E1686" s="53">
        <v>42562</v>
      </c>
      <c r="F1686" s="75" t="s">
        <v>848</v>
      </c>
      <c r="G1686" s="72"/>
      <c r="H1686" s="49" t="s">
        <v>1251</v>
      </c>
      <c r="I1686" s="49" t="s">
        <v>138</v>
      </c>
      <c r="J1686" s="76">
        <v>-29.97</v>
      </c>
      <c r="K1686" s="83" t="str">
        <f>IFERROR(IFERROR(VLOOKUP(I1686,'DE-PARA'!B:D,3,0),VLOOKUP(I1686,'DE-PARA'!C:D,2,0)),"NÃO ENCONTRADO")</f>
        <v>Serviços</v>
      </c>
      <c r="L1686" s="50" t="str">
        <f>VLOOKUP(K1686,'Base -Receita-Despesa'!$B:$P,1,FALSE)</f>
        <v>Serviços</v>
      </c>
    </row>
    <row r="1687" spans="1:12" ht="15" customHeight="1" x14ac:dyDescent="0.3">
      <c r="A1687" s="82" t="str">
        <f t="shared" si="52"/>
        <v>2016</v>
      </c>
      <c r="B1687" s="72" t="s">
        <v>131</v>
      </c>
      <c r="C1687" s="73" t="s">
        <v>132</v>
      </c>
      <c r="D1687" s="74" t="str">
        <f t="shared" si="53"/>
        <v>jul/2016</v>
      </c>
      <c r="E1687" s="53">
        <v>42562</v>
      </c>
      <c r="F1687" s="75" t="s">
        <v>1270</v>
      </c>
      <c r="G1687" s="72"/>
      <c r="H1687" s="49" t="s">
        <v>1271</v>
      </c>
      <c r="I1687" s="49" t="s">
        <v>317</v>
      </c>
      <c r="J1687" s="76">
        <v>-740</v>
      </c>
      <c r="K1687" s="83" t="str">
        <f>IFERROR(IFERROR(VLOOKUP(I1687,'DE-PARA'!B:D,3,0),VLOOKUP(I1687,'DE-PARA'!C:D,2,0)),"NÃO ENCONTRADO")</f>
        <v>Investimentos</v>
      </c>
      <c r="L1687" s="50" t="str">
        <f>VLOOKUP(K1687,'Base -Receita-Despesa'!$B:$P,1,FALSE)</f>
        <v>Investimentos</v>
      </c>
    </row>
    <row r="1688" spans="1:12" ht="15" customHeight="1" x14ac:dyDescent="0.3">
      <c r="A1688" s="82" t="str">
        <f t="shared" si="52"/>
        <v>2016</v>
      </c>
      <c r="B1688" s="72" t="s">
        <v>131</v>
      </c>
      <c r="C1688" s="73" t="s">
        <v>132</v>
      </c>
      <c r="D1688" s="74" t="str">
        <f t="shared" si="53"/>
        <v>jul/2016</v>
      </c>
      <c r="E1688" s="53">
        <v>42562</v>
      </c>
      <c r="F1688" s="75" t="s">
        <v>1045</v>
      </c>
      <c r="G1688" s="72"/>
      <c r="H1688" s="49" t="s">
        <v>1046</v>
      </c>
      <c r="I1688" s="49" t="s">
        <v>121</v>
      </c>
      <c r="J1688" s="76">
        <v>10911.02</v>
      </c>
      <c r="K1688" s="83" t="s">
        <v>93</v>
      </c>
      <c r="L1688" s="50" t="str">
        <f>VLOOKUP(K1688,'Base -Receita-Despesa'!$B:$P,1,FALSE)</f>
        <v>Transferências da c/c para c/a ou c/p (-)</v>
      </c>
    </row>
    <row r="1689" spans="1:12" ht="15" customHeight="1" x14ac:dyDescent="0.3">
      <c r="A1689" s="82" t="str">
        <f t="shared" si="52"/>
        <v>2016</v>
      </c>
      <c r="B1689" s="72" t="s">
        <v>249</v>
      </c>
      <c r="C1689" s="73" t="s">
        <v>132</v>
      </c>
      <c r="D1689" s="74" t="str">
        <f t="shared" si="53"/>
        <v>jul/2016</v>
      </c>
      <c r="E1689" s="53">
        <v>42563</v>
      </c>
      <c r="F1689" s="75" t="s">
        <v>154</v>
      </c>
      <c r="G1689" s="72"/>
      <c r="H1689" s="49" t="s">
        <v>154</v>
      </c>
      <c r="I1689" s="49" t="s">
        <v>1497</v>
      </c>
      <c r="J1689" s="76">
        <v>655377.74</v>
      </c>
      <c r="K1689" s="83" t="str">
        <f>IFERROR(IFERROR(VLOOKUP(I1689,'DE-PARA'!B:D,3,0),VLOOKUP(I1689,'DE-PARA'!C:D,2,0)),"NÃO ENCONTRADO")</f>
        <v>Repasses Contrato de Gestão</v>
      </c>
      <c r="L1689" s="50" t="str">
        <f>VLOOKUP(K1689,'Base -Receita-Despesa'!$B:$P,1,FALSE)</f>
        <v>Repasses Contrato de Gestão</v>
      </c>
    </row>
    <row r="1690" spans="1:12" ht="15" customHeight="1" x14ac:dyDescent="0.3">
      <c r="A1690" s="82" t="str">
        <f t="shared" si="52"/>
        <v>2016</v>
      </c>
      <c r="B1690" s="72" t="s">
        <v>249</v>
      </c>
      <c r="C1690" s="73" t="s">
        <v>132</v>
      </c>
      <c r="D1690" s="74" t="str">
        <f t="shared" si="53"/>
        <v>jul/2016</v>
      </c>
      <c r="E1690" s="53">
        <v>42563</v>
      </c>
      <c r="F1690" s="75" t="s">
        <v>1045</v>
      </c>
      <c r="G1690" s="72"/>
      <c r="H1690" s="49" t="s">
        <v>1243</v>
      </c>
      <c r="I1690" s="49" t="s">
        <v>121</v>
      </c>
      <c r="J1690" s="76">
        <v>-500000</v>
      </c>
      <c r="K1690" s="83" t="s">
        <v>93</v>
      </c>
      <c r="L1690" s="50" t="str">
        <f>VLOOKUP(K1690,'Base -Receita-Despesa'!$B:$P,1,FALSE)</f>
        <v>Transferências da c/c para c/a ou c/p (-)</v>
      </c>
    </row>
    <row r="1691" spans="1:12" ht="15" customHeight="1" x14ac:dyDescent="0.3">
      <c r="A1691" s="82" t="str">
        <f t="shared" si="52"/>
        <v>2016</v>
      </c>
      <c r="B1691" s="72" t="s">
        <v>131</v>
      </c>
      <c r="C1691" s="73" t="s">
        <v>132</v>
      </c>
      <c r="D1691" s="74" t="str">
        <f t="shared" si="53"/>
        <v>jul/2016</v>
      </c>
      <c r="E1691" s="53">
        <v>42563</v>
      </c>
      <c r="F1691" s="75" t="s">
        <v>1273</v>
      </c>
      <c r="G1691" s="72"/>
      <c r="H1691" s="49" t="s">
        <v>1088</v>
      </c>
      <c r="I1691" s="49" t="s">
        <v>150</v>
      </c>
      <c r="J1691" s="76">
        <v>-7904.04</v>
      </c>
      <c r="K1691" s="83" t="str">
        <f>IFERROR(IFERROR(VLOOKUP(I1691,'DE-PARA'!B:D,3,0),VLOOKUP(I1691,'DE-PARA'!C:D,2,0)),"NÃO ENCONTRADO")</f>
        <v>Materiais</v>
      </c>
      <c r="L1691" s="50" t="str">
        <f>VLOOKUP(K1691,'Base -Receita-Despesa'!$B:$P,1,FALSE)</f>
        <v>Materiais</v>
      </c>
    </row>
    <row r="1692" spans="1:12" ht="15" customHeight="1" x14ac:dyDescent="0.3">
      <c r="A1692" s="82" t="str">
        <f t="shared" si="52"/>
        <v>2016</v>
      </c>
      <c r="B1692" s="72" t="s">
        <v>131</v>
      </c>
      <c r="C1692" s="73" t="s">
        <v>132</v>
      </c>
      <c r="D1692" s="74" t="str">
        <f t="shared" si="53"/>
        <v>jul/2016</v>
      </c>
      <c r="E1692" s="53">
        <v>42563</v>
      </c>
      <c r="F1692" s="75" t="s">
        <v>1274</v>
      </c>
      <c r="G1692" s="72"/>
      <c r="H1692" s="49" t="s">
        <v>1275</v>
      </c>
      <c r="I1692" s="49" t="s">
        <v>317</v>
      </c>
      <c r="J1692" s="76">
        <v>-792</v>
      </c>
      <c r="K1692" s="83" t="str">
        <f>IFERROR(IFERROR(VLOOKUP(I1692,'DE-PARA'!B:D,3,0),VLOOKUP(I1692,'DE-PARA'!C:D,2,0)),"NÃO ENCONTRADO")</f>
        <v>Investimentos</v>
      </c>
      <c r="L1692" s="50" t="str">
        <f>VLOOKUP(K1692,'Base -Receita-Despesa'!$B:$P,1,FALSE)</f>
        <v>Investimentos</v>
      </c>
    </row>
    <row r="1693" spans="1:12" ht="15" customHeight="1" x14ac:dyDescent="0.3">
      <c r="A1693" s="82" t="str">
        <f t="shared" si="52"/>
        <v>2016</v>
      </c>
      <c r="B1693" s="72" t="s">
        <v>131</v>
      </c>
      <c r="C1693" s="73" t="s">
        <v>132</v>
      </c>
      <c r="D1693" s="74" t="str">
        <f t="shared" si="53"/>
        <v>jul/2016</v>
      </c>
      <c r="E1693" s="53">
        <v>42563</v>
      </c>
      <c r="F1693" s="75" t="s">
        <v>1276</v>
      </c>
      <c r="G1693" s="72"/>
      <c r="H1693" s="49" t="s">
        <v>1090</v>
      </c>
      <c r="I1693" s="49" t="s">
        <v>515</v>
      </c>
      <c r="J1693" s="76">
        <v>-15000</v>
      </c>
      <c r="K1693" s="83" t="str">
        <f>IFERROR(IFERROR(VLOOKUP(I1693,'DE-PARA'!B:D,3,0),VLOOKUP(I1693,'DE-PARA'!C:D,2,0)),"NÃO ENCONTRADO")</f>
        <v>Serviços</v>
      </c>
      <c r="L1693" s="50" t="str">
        <f>VLOOKUP(K1693,'Base -Receita-Despesa'!$B:$P,1,FALSE)</f>
        <v>Serviços</v>
      </c>
    </row>
    <row r="1694" spans="1:12" ht="15" customHeight="1" x14ac:dyDescent="0.3">
      <c r="A1694" s="82" t="str">
        <f t="shared" si="52"/>
        <v>2016</v>
      </c>
      <c r="B1694" s="72" t="s">
        <v>131</v>
      </c>
      <c r="C1694" s="73" t="s">
        <v>132</v>
      </c>
      <c r="D1694" s="74" t="str">
        <f t="shared" si="53"/>
        <v>jul/2016</v>
      </c>
      <c r="E1694" s="53">
        <v>42563</v>
      </c>
      <c r="F1694" s="75" t="s">
        <v>1277</v>
      </c>
      <c r="G1694" s="72"/>
      <c r="H1694" s="49" t="s">
        <v>198</v>
      </c>
      <c r="I1694" s="49" t="s">
        <v>603</v>
      </c>
      <c r="J1694" s="76">
        <v>-42502.75</v>
      </c>
      <c r="K1694" s="83" t="str">
        <f>IFERROR(IFERROR(VLOOKUP(I1694,'DE-PARA'!B:D,3,0),VLOOKUP(I1694,'DE-PARA'!C:D,2,0)),"NÃO ENCONTRADO")</f>
        <v>Serviços</v>
      </c>
      <c r="L1694" s="50" t="str">
        <f>VLOOKUP(K1694,'Base -Receita-Despesa'!$B:$P,1,FALSE)</f>
        <v>Serviços</v>
      </c>
    </row>
    <row r="1695" spans="1:12" ht="15" customHeight="1" x14ac:dyDescent="0.3">
      <c r="A1695" s="82" t="str">
        <f t="shared" si="52"/>
        <v>2016</v>
      </c>
      <c r="B1695" s="72" t="s">
        <v>131</v>
      </c>
      <c r="C1695" s="73" t="s">
        <v>132</v>
      </c>
      <c r="D1695" s="74" t="str">
        <f t="shared" si="53"/>
        <v>jul/2016</v>
      </c>
      <c r="E1695" s="53">
        <v>42563</v>
      </c>
      <c r="F1695" s="75" t="s">
        <v>137</v>
      </c>
      <c r="G1695" s="72"/>
      <c r="H1695" s="49" t="s">
        <v>161</v>
      </c>
      <c r="I1695" s="49" t="s">
        <v>159</v>
      </c>
      <c r="J1695" s="76">
        <v>1058.42</v>
      </c>
      <c r="K1695" s="83" t="str">
        <f>IFERROR(IFERROR(VLOOKUP(I1695,'DE-PARA'!B:D,3,0),VLOOKUP(I1695,'DE-PARA'!C:D,2,0)),"NÃO ENCONTRADO")</f>
        <v>Materiais</v>
      </c>
      <c r="L1695" s="50" t="str">
        <f>VLOOKUP(K1695,'Base -Receita-Despesa'!$B:$P,1,FALSE)</f>
        <v>Materiais</v>
      </c>
    </row>
    <row r="1696" spans="1:12" ht="15" customHeight="1" x14ac:dyDescent="0.3">
      <c r="A1696" s="82" t="str">
        <f t="shared" si="52"/>
        <v>2016</v>
      </c>
      <c r="B1696" s="72" t="s">
        <v>131</v>
      </c>
      <c r="C1696" s="73" t="s">
        <v>132</v>
      </c>
      <c r="D1696" s="74" t="str">
        <f t="shared" si="53"/>
        <v>jul/2016</v>
      </c>
      <c r="E1696" s="53">
        <v>42563</v>
      </c>
      <c r="F1696" s="75" t="s">
        <v>137</v>
      </c>
      <c r="G1696" s="72"/>
      <c r="H1696" s="49" t="s">
        <v>161</v>
      </c>
      <c r="I1696" s="49" t="s">
        <v>159</v>
      </c>
      <c r="J1696" s="76">
        <v>1058.42</v>
      </c>
      <c r="K1696" s="83" t="str">
        <f>IFERROR(IFERROR(VLOOKUP(I1696,'DE-PARA'!B:D,3,0),VLOOKUP(I1696,'DE-PARA'!C:D,2,0)),"NÃO ENCONTRADO")</f>
        <v>Materiais</v>
      </c>
      <c r="L1696" s="50" t="str">
        <f>VLOOKUP(K1696,'Base -Receita-Despesa'!$B:$P,1,FALSE)</f>
        <v>Materiais</v>
      </c>
    </row>
    <row r="1697" spans="1:12" ht="15" customHeight="1" x14ac:dyDescent="0.3">
      <c r="A1697" s="82" t="str">
        <f t="shared" si="52"/>
        <v>2016</v>
      </c>
      <c r="B1697" s="72" t="s">
        <v>131</v>
      </c>
      <c r="C1697" s="73" t="s">
        <v>132</v>
      </c>
      <c r="D1697" s="74" t="str">
        <f t="shared" si="53"/>
        <v>jul/2016</v>
      </c>
      <c r="E1697" s="53">
        <v>42563</v>
      </c>
      <c r="F1697" s="75" t="s">
        <v>137</v>
      </c>
      <c r="G1697" s="72"/>
      <c r="H1697" s="49" t="s">
        <v>161</v>
      </c>
      <c r="I1697" s="49" t="s">
        <v>159</v>
      </c>
      <c r="J1697" s="76">
        <v>826.66</v>
      </c>
      <c r="K1697" s="83" t="str">
        <f>IFERROR(IFERROR(VLOOKUP(I1697,'DE-PARA'!B:D,3,0),VLOOKUP(I1697,'DE-PARA'!C:D,2,0)),"NÃO ENCONTRADO")</f>
        <v>Materiais</v>
      </c>
      <c r="L1697" s="50" t="str">
        <f>VLOOKUP(K1697,'Base -Receita-Despesa'!$B:$P,1,FALSE)</f>
        <v>Materiais</v>
      </c>
    </row>
    <row r="1698" spans="1:12" ht="15" customHeight="1" x14ac:dyDescent="0.3">
      <c r="A1698" s="82" t="str">
        <f t="shared" si="52"/>
        <v>2016</v>
      </c>
      <c r="B1698" s="72" t="s">
        <v>131</v>
      </c>
      <c r="C1698" s="73" t="s">
        <v>132</v>
      </c>
      <c r="D1698" s="74" t="str">
        <f t="shared" si="53"/>
        <v>jul/2016</v>
      </c>
      <c r="E1698" s="53">
        <v>42563</v>
      </c>
      <c r="F1698" s="75" t="s">
        <v>137</v>
      </c>
      <c r="G1698" s="72"/>
      <c r="H1698" s="49" t="s">
        <v>161</v>
      </c>
      <c r="I1698" s="49" t="s">
        <v>159</v>
      </c>
      <c r="J1698" s="76">
        <v>621.72</v>
      </c>
      <c r="K1698" s="83" t="str">
        <f>IFERROR(IFERROR(VLOOKUP(I1698,'DE-PARA'!B:D,3,0),VLOOKUP(I1698,'DE-PARA'!C:D,2,0)),"NÃO ENCONTRADO")</f>
        <v>Materiais</v>
      </c>
      <c r="L1698" s="50" t="str">
        <f>VLOOKUP(K1698,'Base -Receita-Despesa'!$B:$P,1,FALSE)</f>
        <v>Materiais</v>
      </c>
    </row>
    <row r="1699" spans="1:12" ht="15" customHeight="1" x14ac:dyDescent="0.3">
      <c r="A1699" s="82" t="str">
        <f t="shared" si="52"/>
        <v>2016</v>
      </c>
      <c r="B1699" s="72" t="s">
        <v>131</v>
      </c>
      <c r="C1699" s="73" t="s">
        <v>132</v>
      </c>
      <c r="D1699" s="74" t="str">
        <f t="shared" si="53"/>
        <v>jul/2016</v>
      </c>
      <c r="E1699" s="53">
        <v>42563</v>
      </c>
      <c r="F1699" s="75" t="s">
        <v>137</v>
      </c>
      <c r="G1699" s="72"/>
      <c r="H1699" s="49" t="s">
        <v>161</v>
      </c>
      <c r="I1699" s="49" t="s">
        <v>159</v>
      </c>
      <c r="J1699" s="76">
        <v>262.89999999999998</v>
      </c>
      <c r="K1699" s="83" t="str">
        <f>IFERROR(IFERROR(VLOOKUP(I1699,'DE-PARA'!B:D,3,0),VLOOKUP(I1699,'DE-PARA'!C:D,2,0)),"NÃO ENCONTRADO")</f>
        <v>Materiais</v>
      </c>
      <c r="L1699" s="50" t="str">
        <f>VLOOKUP(K1699,'Base -Receita-Despesa'!$B:$P,1,FALSE)</f>
        <v>Materiais</v>
      </c>
    </row>
    <row r="1700" spans="1:12" ht="15" customHeight="1" x14ac:dyDescent="0.3">
      <c r="A1700" s="82" t="str">
        <f t="shared" si="52"/>
        <v>2016</v>
      </c>
      <c r="B1700" s="72" t="s">
        <v>131</v>
      </c>
      <c r="C1700" s="73" t="s">
        <v>132</v>
      </c>
      <c r="D1700" s="74" t="str">
        <f t="shared" si="53"/>
        <v>jul/2016</v>
      </c>
      <c r="E1700" s="53">
        <v>42563</v>
      </c>
      <c r="F1700" s="75" t="s">
        <v>137</v>
      </c>
      <c r="G1700" s="72"/>
      <c r="H1700" s="49" t="s">
        <v>161</v>
      </c>
      <c r="I1700" s="49" t="s">
        <v>159</v>
      </c>
      <c r="J1700" s="76">
        <v>262.89999999999998</v>
      </c>
      <c r="K1700" s="83" t="str">
        <f>IFERROR(IFERROR(VLOOKUP(I1700,'DE-PARA'!B:D,3,0),VLOOKUP(I1700,'DE-PARA'!C:D,2,0)),"NÃO ENCONTRADO")</f>
        <v>Materiais</v>
      </c>
      <c r="L1700" s="50" t="str">
        <f>VLOOKUP(K1700,'Base -Receita-Despesa'!$B:$P,1,FALSE)</f>
        <v>Materiais</v>
      </c>
    </row>
    <row r="1701" spans="1:12" ht="15" customHeight="1" x14ac:dyDescent="0.3">
      <c r="A1701" s="82" t="str">
        <f t="shared" si="52"/>
        <v>2016</v>
      </c>
      <c r="B1701" s="72" t="s">
        <v>131</v>
      </c>
      <c r="C1701" s="73" t="s">
        <v>132</v>
      </c>
      <c r="D1701" s="74" t="str">
        <f t="shared" si="53"/>
        <v>jul/2016</v>
      </c>
      <c r="E1701" s="53">
        <v>42563</v>
      </c>
      <c r="F1701" s="75" t="s">
        <v>1278</v>
      </c>
      <c r="G1701" s="72"/>
      <c r="H1701" s="49" t="s">
        <v>161</v>
      </c>
      <c r="I1701" s="49" t="s">
        <v>159</v>
      </c>
      <c r="J1701" s="76">
        <v>-262.89999999999998</v>
      </c>
      <c r="K1701" s="83" t="str">
        <f>IFERROR(IFERROR(VLOOKUP(I1701,'DE-PARA'!B:D,3,0),VLOOKUP(I1701,'DE-PARA'!C:D,2,0)),"NÃO ENCONTRADO")</f>
        <v>Materiais</v>
      </c>
      <c r="L1701" s="50" t="str">
        <f>VLOOKUP(K1701,'Base -Receita-Despesa'!$B:$P,1,FALSE)</f>
        <v>Materiais</v>
      </c>
    </row>
    <row r="1702" spans="1:12" ht="15" customHeight="1" x14ac:dyDescent="0.3">
      <c r="A1702" s="82" t="str">
        <f t="shared" si="52"/>
        <v>2016</v>
      </c>
      <c r="B1702" s="72" t="s">
        <v>131</v>
      </c>
      <c r="C1702" s="73" t="s">
        <v>132</v>
      </c>
      <c r="D1702" s="74" t="str">
        <f t="shared" si="53"/>
        <v>jul/2016</v>
      </c>
      <c r="E1702" s="53">
        <v>42563</v>
      </c>
      <c r="F1702" s="75" t="s">
        <v>1278</v>
      </c>
      <c r="G1702" s="72"/>
      <c r="H1702" s="49" t="s">
        <v>161</v>
      </c>
      <c r="I1702" s="49" t="s">
        <v>159</v>
      </c>
      <c r="J1702" s="76">
        <v>-262.89999999999998</v>
      </c>
      <c r="K1702" s="83" t="str">
        <f>IFERROR(IFERROR(VLOOKUP(I1702,'DE-PARA'!B:D,3,0),VLOOKUP(I1702,'DE-PARA'!C:D,2,0)),"NÃO ENCONTRADO")</f>
        <v>Materiais</v>
      </c>
      <c r="L1702" s="50" t="str">
        <f>VLOOKUP(K1702,'Base -Receita-Despesa'!$B:$P,1,FALSE)</f>
        <v>Materiais</v>
      </c>
    </row>
    <row r="1703" spans="1:12" ht="15" customHeight="1" x14ac:dyDescent="0.3">
      <c r="A1703" s="82" t="str">
        <f t="shared" si="52"/>
        <v>2016</v>
      </c>
      <c r="B1703" s="72" t="s">
        <v>131</v>
      </c>
      <c r="C1703" s="73" t="s">
        <v>132</v>
      </c>
      <c r="D1703" s="74" t="str">
        <f t="shared" si="53"/>
        <v>jul/2016</v>
      </c>
      <c r="E1703" s="53">
        <v>42563</v>
      </c>
      <c r="F1703" s="75" t="s">
        <v>1278</v>
      </c>
      <c r="G1703" s="72"/>
      <c r="H1703" s="49" t="s">
        <v>161</v>
      </c>
      <c r="I1703" s="49" t="s">
        <v>159</v>
      </c>
      <c r="J1703" s="76">
        <v>-262.89999999999998</v>
      </c>
      <c r="K1703" s="83" t="str">
        <f>IFERROR(IFERROR(VLOOKUP(I1703,'DE-PARA'!B:D,3,0),VLOOKUP(I1703,'DE-PARA'!C:D,2,0)),"NÃO ENCONTRADO")</f>
        <v>Materiais</v>
      </c>
      <c r="L1703" s="50" t="str">
        <f>VLOOKUP(K1703,'Base -Receita-Despesa'!$B:$P,1,FALSE)</f>
        <v>Materiais</v>
      </c>
    </row>
    <row r="1704" spans="1:12" ht="15" customHeight="1" x14ac:dyDescent="0.3">
      <c r="A1704" s="82" t="str">
        <f t="shared" si="52"/>
        <v>2016</v>
      </c>
      <c r="B1704" s="72" t="s">
        <v>131</v>
      </c>
      <c r="C1704" s="73" t="s">
        <v>132</v>
      </c>
      <c r="D1704" s="74" t="str">
        <f t="shared" si="53"/>
        <v>jul/2016</v>
      </c>
      <c r="E1704" s="53">
        <v>42563</v>
      </c>
      <c r="F1704" s="75" t="s">
        <v>1279</v>
      </c>
      <c r="G1704" s="72"/>
      <c r="H1704" s="49" t="s">
        <v>161</v>
      </c>
      <c r="I1704" s="49" t="s">
        <v>159</v>
      </c>
      <c r="J1704" s="76">
        <v>-301.7</v>
      </c>
      <c r="K1704" s="83" t="str">
        <f>IFERROR(IFERROR(VLOOKUP(I1704,'DE-PARA'!B:D,3,0),VLOOKUP(I1704,'DE-PARA'!C:D,2,0)),"NÃO ENCONTRADO")</f>
        <v>Materiais</v>
      </c>
      <c r="L1704" s="50" t="str">
        <f>VLOOKUP(K1704,'Base -Receita-Despesa'!$B:$P,1,FALSE)</f>
        <v>Materiais</v>
      </c>
    </row>
    <row r="1705" spans="1:12" ht="15" customHeight="1" x14ac:dyDescent="0.3">
      <c r="A1705" s="82" t="str">
        <f t="shared" si="52"/>
        <v>2016</v>
      </c>
      <c r="B1705" s="72" t="s">
        <v>131</v>
      </c>
      <c r="C1705" s="73" t="s">
        <v>132</v>
      </c>
      <c r="D1705" s="74" t="str">
        <f t="shared" si="53"/>
        <v>jul/2016</v>
      </c>
      <c r="E1705" s="53">
        <v>42563</v>
      </c>
      <c r="F1705" s="75" t="s">
        <v>896</v>
      </c>
      <c r="G1705" s="72"/>
      <c r="H1705" s="49" t="s">
        <v>161</v>
      </c>
      <c r="I1705" s="49" t="s">
        <v>159</v>
      </c>
      <c r="J1705" s="76">
        <v>-621.72</v>
      </c>
      <c r="K1705" s="83" t="str">
        <f>IFERROR(IFERROR(VLOOKUP(I1705,'DE-PARA'!B:D,3,0),VLOOKUP(I1705,'DE-PARA'!C:D,2,0)),"NÃO ENCONTRADO")</f>
        <v>Materiais</v>
      </c>
      <c r="L1705" s="50" t="str">
        <f>VLOOKUP(K1705,'Base -Receita-Despesa'!$B:$P,1,FALSE)</f>
        <v>Materiais</v>
      </c>
    </row>
    <row r="1706" spans="1:12" ht="15" customHeight="1" x14ac:dyDescent="0.3">
      <c r="A1706" s="82" t="str">
        <f t="shared" si="52"/>
        <v>2016</v>
      </c>
      <c r="B1706" s="72" t="s">
        <v>131</v>
      </c>
      <c r="C1706" s="73" t="s">
        <v>132</v>
      </c>
      <c r="D1706" s="74" t="str">
        <f t="shared" si="53"/>
        <v>jul/2016</v>
      </c>
      <c r="E1706" s="53">
        <v>42563</v>
      </c>
      <c r="F1706" s="75" t="s">
        <v>163</v>
      </c>
      <c r="G1706" s="72"/>
      <c r="H1706" s="49" t="s">
        <v>161</v>
      </c>
      <c r="I1706" s="49" t="s">
        <v>159</v>
      </c>
      <c r="J1706" s="76">
        <v>-621.72</v>
      </c>
      <c r="K1706" s="83" t="str">
        <f>IFERROR(IFERROR(VLOOKUP(I1706,'DE-PARA'!B:D,3,0),VLOOKUP(I1706,'DE-PARA'!C:D,2,0)),"NÃO ENCONTRADO")</f>
        <v>Materiais</v>
      </c>
      <c r="L1706" s="50" t="str">
        <f>VLOOKUP(K1706,'Base -Receita-Despesa'!$B:$P,1,FALSE)</f>
        <v>Materiais</v>
      </c>
    </row>
    <row r="1707" spans="1:12" ht="15" customHeight="1" x14ac:dyDescent="0.3">
      <c r="A1707" s="82" t="str">
        <f t="shared" si="52"/>
        <v>2016</v>
      </c>
      <c r="B1707" s="72" t="s">
        <v>131</v>
      </c>
      <c r="C1707" s="73" t="s">
        <v>132</v>
      </c>
      <c r="D1707" s="74" t="str">
        <f t="shared" si="53"/>
        <v>jul/2016</v>
      </c>
      <c r="E1707" s="53">
        <v>42563</v>
      </c>
      <c r="F1707" s="75" t="s">
        <v>897</v>
      </c>
      <c r="G1707" s="72"/>
      <c r="H1707" s="49" t="s">
        <v>161</v>
      </c>
      <c r="I1707" s="49" t="s">
        <v>159</v>
      </c>
      <c r="J1707" s="76">
        <v>-826.66</v>
      </c>
      <c r="K1707" s="83" t="str">
        <f>IFERROR(IFERROR(VLOOKUP(I1707,'DE-PARA'!B:D,3,0),VLOOKUP(I1707,'DE-PARA'!C:D,2,0)),"NÃO ENCONTRADO")</f>
        <v>Materiais</v>
      </c>
      <c r="L1707" s="50" t="str">
        <f>VLOOKUP(K1707,'Base -Receita-Despesa'!$B:$P,1,FALSE)</f>
        <v>Materiais</v>
      </c>
    </row>
    <row r="1708" spans="1:12" ht="15" customHeight="1" x14ac:dyDescent="0.3">
      <c r="A1708" s="82" t="str">
        <f t="shared" si="52"/>
        <v>2016</v>
      </c>
      <c r="B1708" s="72" t="s">
        <v>131</v>
      </c>
      <c r="C1708" s="73" t="s">
        <v>132</v>
      </c>
      <c r="D1708" s="74" t="str">
        <f t="shared" si="53"/>
        <v>jul/2016</v>
      </c>
      <c r="E1708" s="53">
        <v>42563</v>
      </c>
      <c r="F1708" s="75" t="s">
        <v>897</v>
      </c>
      <c r="G1708" s="72"/>
      <c r="H1708" s="49" t="s">
        <v>161</v>
      </c>
      <c r="I1708" s="49" t="s">
        <v>159</v>
      </c>
      <c r="J1708" s="76">
        <v>-826.66</v>
      </c>
      <c r="K1708" s="83" t="str">
        <f>IFERROR(IFERROR(VLOOKUP(I1708,'DE-PARA'!B:D,3,0),VLOOKUP(I1708,'DE-PARA'!C:D,2,0)),"NÃO ENCONTRADO")</f>
        <v>Materiais</v>
      </c>
      <c r="L1708" s="50" t="str">
        <f>VLOOKUP(K1708,'Base -Receita-Despesa'!$B:$P,1,FALSE)</f>
        <v>Materiais</v>
      </c>
    </row>
    <row r="1709" spans="1:12" ht="15" customHeight="1" x14ac:dyDescent="0.3">
      <c r="A1709" s="82" t="str">
        <f t="shared" si="52"/>
        <v>2016</v>
      </c>
      <c r="B1709" s="72" t="s">
        <v>131</v>
      </c>
      <c r="C1709" s="73" t="s">
        <v>132</v>
      </c>
      <c r="D1709" s="74" t="str">
        <f t="shared" si="53"/>
        <v>jul/2016</v>
      </c>
      <c r="E1709" s="53">
        <v>42563</v>
      </c>
      <c r="F1709" s="75" t="s">
        <v>899</v>
      </c>
      <c r="G1709" s="72"/>
      <c r="H1709" s="49" t="s">
        <v>161</v>
      </c>
      <c r="I1709" s="49" t="s">
        <v>159</v>
      </c>
      <c r="J1709" s="76">
        <v>-1058.42</v>
      </c>
      <c r="K1709" s="83" t="str">
        <f>IFERROR(IFERROR(VLOOKUP(I1709,'DE-PARA'!B:D,3,0),VLOOKUP(I1709,'DE-PARA'!C:D,2,0)),"NÃO ENCONTRADO")</f>
        <v>Materiais</v>
      </c>
      <c r="L1709" s="50" t="str">
        <f>VLOOKUP(K1709,'Base -Receita-Despesa'!$B:$P,1,FALSE)</f>
        <v>Materiais</v>
      </c>
    </row>
    <row r="1710" spans="1:12" ht="15" customHeight="1" x14ac:dyDescent="0.3">
      <c r="A1710" s="82" t="str">
        <f t="shared" si="52"/>
        <v>2016</v>
      </c>
      <c r="B1710" s="72" t="s">
        <v>131</v>
      </c>
      <c r="C1710" s="73" t="s">
        <v>132</v>
      </c>
      <c r="D1710" s="74" t="str">
        <f t="shared" si="53"/>
        <v>jul/2016</v>
      </c>
      <c r="E1710" s="53">
        <v>42563</v>
      </c>
      <c r="F1710" s="75" t="s">
        <v>899</v>
      </c>
      <c r="G1710" s="72"/>
      <c r="H1710" s="49" t="s">
        <v>161</v>
      </c>
      <c r="I1710" s="49" t="s">
        <v>159</v>
      </c>
      <c r="J1710" s="76">
        <v>-1058.42</v>
      </c>
      <c r="K1710" s="83" t="str">
        <f>IFERROR(IFERROR(VLOOKUP(I1710,'DE-PARA'!B:D,3,0),VLOOKUP(I1710,'DE-PARA'!C:D,2,0)),"NÃO ENCONTRADO")</f>
        <v>Materiais</v>
      </c>
      <c r="L1710" s="50" t="str">
        <f>VLOOKUP(K1710,'Base -Receita-Despesa'!$B:$P,1,FALSE)</f>
        <v>Materiais</v>
      </c>
    </row>
    <row r="1711" spans="1:12" ht="15" customHeight="1" x14ac:dyDescent="0.3">
      <c r="A1711" s="82" t="str">
        <f t="shared" si="52"/>
        <v>2016</v>
      </c>
      <c r="B1711" s="72" t="s">
        <v>131</v>
      </c>
      <c r="C1711" s="73" t="s">
        <v>132</v>
      </c>
      <c r="D1711" s="74" t="str">
        <f t="shared" si="53"/>
        <v>jul/2016</v>
      </c>
      <c r="E1711" s="53">
        <v>42563</v>
      </c>
      <c r="F1711" s="75" t="s">
        <v>899</v>
      </c>
      <c r="G1711" s="72"/>
      <c r="H1711" s="49" t="s">
        <v>161</v>
      </c>
      <c r="I1711" s="49" t="s">
        <v>159</v>
      </c>
      <c r="J1711" s="76">
        <v>-1058.42</v>
      </c>
      <c r="K1711" s="83" t="str">
        <f>IFERROR(IFERROR(VLOOKUP(I1711,'DE-PARA'!B:D,3,0),VLOOKUP(I1711,'DE-PARA'!C:D,2,0)),"NÃO ENCONTRADO")</f>
        <v>Materiais</v>
      </c>
      <c r="L1711" s="50" t="str">
        <f>VLOOKUP(K1711,'Base -Receita-Despesa'!$B:$P,1,FALSE)</f>
        <v>Materiais</v>
      </c>
    </row>
    <row r="1712" spans="1:12" ht="15" customHeight="1" x14ac:dyDescent="0.3">
      <c r="A1712" s="82" t="str">
        <f t="shared" si="52"/>
        <v>2016</v>
      </c>
      <c r="B1712" s="72" t="s">
        <v>131</v>
      </c>
      <c r="C1712" s="73" t="s">
        <v>132</v>
      </c>
      <c r="D1712" s="74" t="str">
        <f t="shared" si="53"/>
        <v>jul/2016</v>
      </c>
      <c r="E1712" s="53">
        <v>42563</v>
      </c>
      <c r="F1712" s="75" t="s">
        <v>1094</v>
      </c>
      <c r="G1712" s="72"/>
      <c r="H1712" s="49" t="s">
        <v>904</v>
      </c>
      <c r="I1712" s="49" t="s">
        <v>905</v>
      </c>
      <c r="J1712" s="76">
        <v>-559.66</v>
      </c>
      <c r="K1712" s="83" t="str">
        <f>IFERROR(IFERROR(VLOOKUP(I1712,'DE-PARA'!B:D,3,0),VLOOKUP(I1712,'DE-PARA'!C:D,2,0)),"NÃO ENCONTRADO")</f>
        <v>Materiais</v>
      </c>
      <c r="L1712" s="50" t="str">
        <f>VLOOKUP(K1712,'Base -Receita-Despesa'!$B:$P,1,FALSE)</f>
        <v>Materiais</v>
      </c>
    </row>
    <row r="1713" spans="1:12" ht="15" customHeight="1" x14ac:dyDescent="0.3">
      <c r="A1713" s="82" t="str">
        <f t="shared" si="52"/>
        <v>2016</v>
      </c>
      <c r="B1713" s="72" t="s">
        <v>131</v>
      </c>
      <c r="C1713" s="73" t="s">
        <v>132</v>
      </c>
      <c r="D1713" s="74" t="str">
        <f t="shared" si="53"/>
        <v>jul/2016</v>
      </c>
      <c r="E1713" s="53">
        <v>42563</v>
      </c>
      <c r="F1713" s="75" t="s">
        <v>1280</v>
      </c>
      <c r="G1713" s="72"/>
      <c r="H1713" s="49" t="s">
        <v>904</v>
      </c>
      <c r="I1713" s="49" t="s">
        <v>905</v>
      </c>
      <c r="J1713" s="76">
        <v>-789.88</v>
      </c>
      <c r="K1713" s="83" t="str">
        <f>IFERROR(IFERROR(VLOOKUP(I1713,'DE-PARA'!B:D,3,0),VLOOKUP(I1713,'DE-PARA'!C:D,2,0)),"NÃO ENCONTRADO")</f>
        <v>Materiais</v>
      </c>
      <c r="L1713" s="50" t="str">
        <f>VLOOKUP(K1713,'Base -Receita-Despesa'!$B:$P,1,FALSE)</f>
        <v>Materiais</v>
      </c>
    </row>
    <row r="1714" spans="1:12" ht="15" customHeight="1" x14ac:dyDescent="0.3">
      <c r="A1714" s="82" t="str">
        <f t="shared" si="52"/>
        <v>2016</v>
      </c>
      <c r="B1714" s="72" t="s">
        <v>131</v>
      </c>
      <c r="C1714" s="73" t="s">
        <v>132</v>
      </c>
      <c r="D1714" s="74" t="str">
        <f t="shared" si="53"/>
        <v>jul/2016</v>
      </c>
      <c r="E1714" s="53">
        <v>42563</v>
      </c>
      <c r="F1714" s="75" t="s">
        <v>1281</v>
      </c>
      <c r="G1714" s="72"/>
      <c r="H1714" s="49" t="s">
        <v>201</v>
      </c>
      <c r="I1714" s="49" t="s">
        <v>110</v>
      </c>
      <c r="J1714" s="76">
        <v>-3523</v>
      </c>
      <c r="K1714" s="83" t="str">
        <f>IFERROR(IFERROR(VLOOKUP(I1714,'DE-PARA'!B:D,3,0),VLOOKUP(I1714,'DE-PARA'!C:D,2,0)),"NÃO ENCONTRADO")</f>
        <v>Serviços</v>
      </c>
      <c r="L1714" s="50" t="str">
        <f>VLOOKUP(K1714,'Base -Receita-Despesa'!$B:$P,1,FALSE)</f>
        <v>Serviços</v>
      </c>
    </row>
    <row r="1715" spans="1:12" ht="15" customHeight="1" x14ac:dyDescent="0.3">
      <c r="A1715" s="82" t="str">
        <f t="shared" si="52"/>
        <v>2016</v>
      </c>
      <c r="B1715" s="72" t="s">
        <v>131</v>
      </c>
      <c r="C1715" s="73" t="s">
        <v>132</v>
      </c>
      <c r="D1715" s="74" t="str">
        <f t="shared" si="53"/>
        <v>jul/2016</v>
      </c>
      <c r="E1715" s="53">
        <v>42563</v>
      </c>
      <c r="F1715" s="75" t="s">
        <v>1282</v>
      </c>
      <c r="G1715" s="72"/>
      <c r="H1715" s="49" t="s">
        <v>178</v>
      </c>
      <c r="I1715" s="49" t="s">
        <v>110</v>
      </c>
      <c r="J1715" s="76">
        <v>-3829.08</v>
      </c>
      <c r="K1715" s="83" t="str">
        <f>IFERROR(IFERROR(VLOOKUP(I1715,'DE-PARA'!B:D,3,0),VLOOKUP(I1715,'DE-PARA'!C:D,2,0)),"NÃO ENCONTRADO")</f>
        <v>Serviços</v>
      </c>
      <c r="L1715" s="50" t="str">
        <f>VLOOKUP(K1715,'Base -Receita-Despesa'!$B:$P,1,FALSE)</f>
        <v>Serviços</v>
      </c>
    </row>
    <row r="1716" spans="1:12" ht="15" customHeight="1" x14ac:dyDescent="0.3">
      <c r="A1716" s="82" t="str">
        <f t="shared" si="52"/>
        <v>2016</v>
      </c>
      <c r="B1716" s="72" t="s">
        <v>131</v>
      </c>
      <c r="C1716" s="73" t="s">
        <v>132</v>
      </c>
      <c r="D1716" s="74" t="str">
        <f t="shared" si="53"/>
        <v>jul/2016</v>
      </c>
      <c r="E1716" s="53">
        <v>42563</v>
      </c>
      <c r="F1716" s="75" t="s">
        <v>1283</v>
      </c>
      <c r="G1716" s="72"/>
      <c r="H1716" s="49" t="s">
        <v>1167</v>
      </c>
      <c r="I1716" s="49" t="s">
        <v>113</v>
      </c>
      <c r="J1716" s="76">
        <v>-88346.04</v>
      </c>
      <c r="K1716" s="83" t="str">
        <f>IFERROR(IFERROR(VLOOKUP(I1716,'DE-PARA'!B:D,3,0),VLOOKUP(I1716,'DE-PARA'!C:D,2,0)),"NÃO ENCONTRADO")</f>
        <v>Serviços</v>
      </c>
      <c r="L1716" s="50" t="str">
        <f>VLOOKUP(K1716,'Base -Receita-Despesa'!$B:$P,1,FALSE)</f>
        <v>Serviços</v>
      </c>
    </row>
    <row r="1717" spans="1:12" ht="15" customHeight="1" x14ac:dyDescent="0.3">
      <c r="A1717" s="82" t="str">
        <f t="shared" si="52"/>
        <v>2016</v>
      </c>
      <c r="B1717" s="72" t="s">
        <v>131</v>
      </c>
      <c r="C1717" s="73" t="s">
        <v>132</v>
      </c>
      <c r="D1717" s="74" t="str">
        <f t="shared" si="53"/>
        <v>jul/2016</v>
      </c>
      <c r="E1717" s="53">
        <v>42563</v>
      </c>
      <c r="F1717" s="75" t="s">
        <v>1284</v>
      </c>
      <c r="G1717" s="72"/>
      <c r="H1717" s="49" t="s">
        <v>203</v>
      </c>
      <c r="I1717" s="49" t="s">
        <v>204</v>
      </c>
      <c r="J1717" s="76">
        <v>-7000</v>
      </c>
      <c r="K1717" s="83" t="str">
        <f>IFERROR(IFERROR(VLOOKUP(I1717,'DE-PARA'!B:D,3,0),VLOOKUP(I1717,'DE-PARA'!C:D,2,0)),"NÃO ENCONTRADO")</f>
        <v>Serviços</v>
      </c>
      <c r="L1717" s="50" t="str">
        <f>VLOOKUP(K1717,'Base -Receita-Despesa'!$B:$P,1,FALSE)</f>
        <v>Serviços</v>
      </c>
    </row>
    <row r="1718" spans="1:12" ht="15" customHeight="1" x14ac:dyDescent="0.3">
      <c r="A1718" s="82" t="str">
        <f t="shared" si="52"/>
        <v>2016</v>
      </c>
      <c r="B1718" s="72" t="s">
        <v>131</v>
      </c>
      <c r="C1718" s="73" t="s">
        <v>132</v>
      </c>
      <c r="D1718" s="74" t="str">
        <f t="shared" si="53"/>
        <v>jul/2016</v>
      </c>
      <c r="E1718" s="53">
        <v>42563</v>
      </c>
      <c r="F1718" s="75" t="s">
        <v>1285</v>
      </c>
      <c r="G1718" s="72"/>
      <c r="H1718" s="49" t="s">
        <v>1100</v>
      </c>
      <c r="I1718" s="49" t="s">
        <v>150</v>
      </c>
      <c r="J1718" s="76">
        <v>-752.97</v>
      </c>
      <c r="K1718" s="83" t="str">
        <f>IFERROR(IFERROR(VLOOKUP(I1718,'DE-PARA'!B:D,3,0),VLOOKUP(I1718,'DE-PARA'!C:D,2,0)),"NÃO ENCONTRADO")</f>
        <v>Materiais</v>
      </c>
      <c r="L1718" s="50" t="str">
        <f>VLOOKUP(K1718,'Base -Receita-Despesa'!$B:$P,1,FALSE)</f>
        <v>Materiais</v>
      </c>
    </row>
    <row r="1719" spans="1:12" ht="15" customHeight="1" x14ac:dyDescent="0.3">
      <c r="A1719" s="82" t="str">
        <f t="shared" si="52"/>
        <v>2016</v>
      </c>
      <c r="B1719" s="72" t="s">
        <v>131</v>
      </c>
      <c r="C1719" s="73" t="s">
        <v>132</v>
      </c>
      <c r="D1719" s="74" t="str">
        <f t="shared" si="53"/>
        <v>jul/2016</v>
      </c>
      <c r="E1719" s="53">
        <v>42563</v>
      </c>
      <c r="F1719" s="75" t="s">
        <v>1286</v>
      </c>
      <c r="G1719" s="72"/>
      <c r="H1719" s="49" t="s">
        <v>1100</v>
      </c>
      <c r="I1719" s="49" t="s">
        <v>150</v>
      </c>
      <c r="J1719" s="76">
        <v>-950.5</v>
      </c>
      <c r="K1719" s="83" t="str">
        <f>IFERROR(IFERROR(VLOOKUP(I1719,'DE-PARA'!B:D,3,0),VLOOKUP(I1719,'DE-PARA'!C:D,2,0)),"NÃO ENCONTRADO")</f>
        <v>Materiais</v>
      </c>
      <c r="L1719" s="50" t="str">
        <f>VLOOKUP(K1719,'Base -Receita-Despesa'!$B:$P,1,FALSE)</f>
        <v>Materiais</v>
      </c>
    </row>
    <row r="1720" spans="1:12" ht="15" customHeight="1" x14ac:dyDescent="0.3">
      <c r="A1720" s="82" t="str">
        <f t="shared" si="52"/>
        <v>2016</v>
      </c>
      <c r="B1720" s="72" t="s">
        <v>131</v>
      </c>
      <c r="C1720" s="73" t="s">
        <v>132</v>
      </c>
      <c r="D1720" s="74" t="str">
        <f t="shared" si="53"/>
        <v>jul/2016</v>
      </c>
      <c r="E1720" s="53">
        <v>42563</v>
      </c>
      <c r="F1720" s="75" t="s">
        <v>1287</v>
      </c>
      <c r="G1720" s="72"/>
      <c r="H1720" s="49" t="s">
        <v>1100</v>
      </c>
      <c r="I1720" s="49" t="s">
        <v>150</v>
      </c>
      <c r="J1720" s="76">
        <v>-2685.21</v>
      </c>
      <c r="K1720" s="83" t="str">
        <f>IFERROR(IFERROR(VLOOKUP(I1720,'DE-PARA'!B:D,3,0),VLOOKUP(I1720,'DE-PARA'!C:D,2,0)),"NÃO ENCONTRADO")</f>
        <v>Materiais</v>
      </c>
      <c r="L1720" s="50" t="str">
        <f>VLOOKUP(K1720,'Base -Receita-Despesa'!$B:$P,1,FALSE)</f>
        <v>Materiais</v>
      </c>
    </row>
    <row r="1721" spans="1:12" ht="15" customHeight="1" x14ac:dyDescent="0.3">
      <c r="A1721" s="82" t="str">
        <f t="shared" si="52"/>
        <v>2016</v>
      </c>
      <c r="B1721" s="72" t="s">
        <v>131</v>
      </c>
      <c r="C1721" s="73" t="s">
        <v>132</v>
      </c>
      <c r="D1721" s="74" t="str">
        <f t="shared" si="53"/>
        <v>jul/2016</v>
      </c>
      <c r="E1721" s="53">
        <v>42563</v>
      </c>
      <c r="F1721" s="75" t="s">
        <v>1288</v>
      </c>
      <c r="G1721" s="72"/>
      <c r="H1721" s="49" t="s">
        <v>221</v>
      </c>
      <c r="I1721" s="49" t="s">
        <v>110</v>
      </c>
      <c r="J1721" s="76">
        <v>-3760</v>
      </c>
      <c r="K1721" s="83" t="str">
        <f>IFERROR(IFERROR(VLOOKUP(I1721,'DE-PARA'!B:D,3,0),VLOOKUP(I1721,'DE-PARA'!C:D,2,0)),"NÃO ENCONTRADO")</f>
        <v>Serviços</v>
      </c>
      <c r="L1721" s="50" t="str">
        <f>VLOOKUP(K1721,'Base -Receita-Despesa'!$B:$P,1,FALSE)</f>
        <v>Serviços</v>
      </c>
    </row>
    <row r="1722" spans="1:12" ht="15" customHeight="1" x14ac:dyDescent="0.3">
      <c r="A1722" s="82" t="str">
        <f t="shared" si="52"/>
        <v>2016</v>
      </c>
      <c r="B1722" s="72" t="s">
        <v>131</v>
      </c>
      <c r="C1722" s="73" t="s">
        <v>132</v>
      </c>
      <c r="D1722" s="74" t="str">
        <f t="shared" si="53"/>
        <v>jul/2016</v>
      </c>
      <c r="E1722" s="53">
        <v>42563</v>
      </c>
      <c r="F1722" s="75" t="s">
        <v>1289</v>
      </c>
      <c r="G1722" s="72"/>
      <c r="H1722" s="49" t="s">
        <v>205</v>
      </c>
      <c r="I1722" s="49" t="s">
        <v>206</v>
      </c>
      <c r="J1722" s="76">
        <v>-8500</v>
      </c>
      <c r="K1722" s="83" t="str">
        <f>IFERROR(IFERROR(VLOOKUP(I1722,'DE-PARA'!B:D,3,0),VLOOKUP(I1722,'DE-PARA'!C:D,2,0)),"NÃO ENCONTRADO")</f>
        <v>Serviços</v>
      </c>
      <c r="L1722" s="50" t="str">
        <f>VLOOKUP(K1722,'Base -Receita-Despesa'!$B:$P,1,FALSE)</f>
        <v>Serviços</v>
      </c>
    </row>
    <row r="1723" spans="1:12" ht="15" customHeight="1" x14ac:dyDescent="0.3">
      <c r="A1723" s="82" t="str">
        <f t="shared" si="52"/>
        <v>2016</v>
      </c>
      <c r="B1723" s="72" t="s">
        <v>131</v>
      </c>
      <c r="C1723" s="73" t="s">
        <v>132</v>
      </c>
      <c r="D1723" s="74" t="str">
        <f t="shared" si="53"/>
        <v>jul/2016</v>
      </c>
      <c r="E1723" s="53">
        <v>42563</v>
      </c>
      <c r="F1723" s="75" t="s">
        <v>1290</v>
      </c>
      <c r="G1723" s="72"/>
      <c r="H1723" s="49" t="s">
        <v>975</v>
      </c>
      <c r="I1723" s="49" t="s">
        <v>114</v>
      </c>
      <c r="J1723" s="76">
        <v>-38863</v>
      </c>
      <c r="K1723" s="83" t="str">
        <f>IFERROR(IFERROR(VLOOKUP(I1723,'DE-PARA'!B:D,3,0),VLOOKUP(I1723,'DE-PARA'!C:D,2,0)),"NÃO ENCONTRADO")</f>
        <v>Serviços</v>
      </c>
      <c r="L1723" s="50" t="str">
        <f>VLOOKUP(K1723,'Base -Receita-Despesa'!$B:$P,1,FALSE)</f>
        <v>Serviços</v>
      </c>
    </row>
    <row r="1724" spans="1:12" ht="15" customHeight="1" x14ac:dyDescent="0.3">
      <c r="A1724" s="82" t="str">
        <f t="shared" si="52"/>
        <v>2016</v>
      </c>
      <c r="B1724" s="72" t="s">
        <v>131</v>
      </c>
      <c r="C1724" s="73" t="s">
        <v>132</v>
      </c>
      <c r="D1724" s="74" t="str">
        <f t="shared" si="53"/>
        <v>jul/2016</v>
      </c>
      <c r="E1724" s="53">
        <v>42563</v>
      </c>
      <c r="F1724" s="75" t="s">
        <v>1291</v>
      </c>
      <c r="G1724" s="72"/>
      <c r="H1724" s="49" t="s">
        <v>1193</v>
      </c>
      <c r="I1724" s="49" t="s">
        <v>110</v>
      </c>
      <c r="J1724" s="76">
        <v>-22300</v>
      </c>
      <c r="K1724" s="83" t="str">
        <f>IFERROR(IFERROR(VLOOKUP(I1724,'DE-PARA'!B:D,3,0),VLOOKUP(I1724,'DE-PARA'!C:D,2,0)),"NÃO ENCONTRADO")</f>
        <v>Serviços</v>
      </c>
      <c r="L1724" s="50" t="str">
        <f>VLOOKUP(K1724,'Base -Receita-Despesa'!$B:$P,1,FALSE)</f>
        <v>Serviços</v>
      </c>
    </row>
    <row r="1725" spans="1:12" ht="15" customHeight="1" x14ac:dyDescent="0.3">
      <c r="A1725" s="82" t="str">
        <f t="shared" si="52"/>
        <v>2016</v>
      </c>
      <c r="B1725" s="72" t="s">
        <v>131</v>
      </c>
      <c r="C1725" s="73" t="s">
        <v>132</v>
      </c>
      <c r="D1725" s="74" t="str">
        <f t="shared" si="53"/>
        <v>jul/2016</v>
      </c>
      <c r="E1725" s="53">
        <v>42563</v>
      </c>
      <c r="F1725" s="75" t="s">
        <v>1113</v>
      </c>
      <c r="G1725" s="72"/>
      <c r="H1725" s="49" t="s">
        <v>503</v>
      </c>
      <c r="I1725" s="49" t="s">
        <v>159</v>
      </c>
      <c r="J1725" s="76">
        <v>-866.67</v>
      </c>
      <c r="K1725" s="83" t="str">
        <f>IFERROR(IFERROR(VLOOKUP(I1725,'DE-PARA'!B:D,3,0),VLOOKUP(I1725,'DE-PARA'!C:D,2,0)),"NÃO ENCONTRADO")</f>
        <v>Materiais</v>
      </c>
      <c r="L1725" s="50" t="str">
        <f>VLOOKUP(K1725,'Base -Receita-Despesa'!$B:$P,1,FALSE)</f>
        <v>Materiais</v>
      </c>
    </row>
    <row r="1726" spans="1:12" ht="15" customHeight="1" x14ac:dyDescent="0.3">
      <c r="A1726" s="82" t="str">
        <f t="shared" si="52"/>
        <v>2016</v>
      </c>
      <c r="B1726" s="72" t="s">
        <v>131</v>
      </c>
      <c r="C1726" s="73" t="s">
        <v>132</v>
      </c>
      <c r="D1726" s="74" t="str">
        <f t="shared" si="53"/>
        <v>jul/2016</v>
      </c>
      <c r="E1726" s="53">
        <v>42563</v>
      </c>
      <c r="F1726" s="75" t="s">
        <v>1117</v>
      </c>
      <c r="G1726" s="72"/>
      <c r="H1726" s="49" t="s">
        <v>166</v>
      </c>
      <c r="I1726" s="49" t="s">
        <v>167</v>
      </c>
      <c r="J1726" s="76">
        <v>-577.69000000000005</v>
      </c>
      <c r="K1726" s="83" t="str">
        <f>IFERROR(IFERROR(VLOOKUP(I1726,'DE-PARA'!B:D,3,0),VLOOKUP(I1726,'DE-PARA'!C:D,2,0)),"NÃO ENCONTRADO")</f>
        <v>Materiais</v>
      </c>
      <c r="L1726" s="50" t="str">
        <f>VLOOKUP(K1726,'Base -Receita-Despesa'!$B:$P,1,FALSE)</f>
        <v>Materiais</v>
      </c>
    </row>
    <row r="1727" spans="1:12" ht="15" customHeight="1" x14ac:dyDescent="0.3">
      <c r="A1727" s="82" t="str">
        <f t="shared" si="52"/>
        <v>2016</v>
      </c>
      <c r="B1727" s="72" t="s">
        <v>131</v>
      </c>
      <c r="C1727" s="73" t="s">
        <v>132</v>
      </c>
      <c r="D1727" s="74" t="str">
        <f t="shared" si="53"/>
        <v>jul/2016</v>
      </c>
      <c r="E1727" s="53">
        <v>42563</v>
      </c>
      <c r="F1727" s="75" t="s">
        <v>1292</v>
      </c>
      <c r="G1727" s="72"/>
      <c r="H1727" s="49" t="s">
        <v>226</v>
      </c>
      <c r="I1727" s="49" t="s">
        <v>177</v>
      </c>
      <c r="J1727" s="76">
        <v>-3389.7</v>
      </c>
      <c r="K1727" s="83" t="str">
        <f>IFERROR(IFERROR(VLOOKUP(I1727,'DE-PARA'!B:D,3,0),VLOOKUP(I1727,'DE-PARA'!C:D,2,0)),"NÃO ENCONTRADO")</f>
        <v>Materiais</v>
      </c>
      <c r="L1727" s="50" t="str">
        <f>VLOOKUP(K1727,'Base -Receita-Despesa'!$B:$P,1,FALSE)</f>
        <v>Materiais</v>
      </c>
    </row>
    <row r="1728" spans="1:12" ht="15" customHeight="1" x14ac:dyDescent="0.3">
      <c r="A1728" s="82" t="str">
        <f t="shared" si="52"/>
        <v>2016</v>
      </c>
      <c r="B1728" s="72" t="s">
        <v>131</v>
      </c>
      <c r="C1728" s="73" t="s">
        <v>132</v>
      </c>
      <c r="D1728" s="74" t="str">
        <f t="shared" si="53"/>
        <v>jul/2016</v>
      </c>
      <c r="E1728" s="53">
        <v>42563</v>
      </c>
      <c r="F1728" s="75" t="s">
        <v>1119</v>
      </c>
      <c r="G1728" s="72"/>
      <c r="H1728" s="49" t="s">
        <v>213</v>
      </c>
      <c r="I1728" s="49" t="s">
        <v>159</v>
      </c>
      <c r="J1728" s="76">
        <v>-539.87</v>
      </c>
      <c r="K1728" s="83" t="str">
        <f>IFERROR(IFERROR(VLOOKUP(I1728,'DE-PARA'!B:D,3,0),VLOOKUP(I1728,'DE-PARA'!C:D,2,0)),"NÃO ENCONTRADO")</f>
        <v>Materiais</v>
      </c>
      <c r="L1728" s="50" t="str">
        <f>VLOOKUP(K1728,'Base -Receita-Despesa'!$B:$P,1,FALSE)</f>
        <v>Materiais</v>
      </c>
    </row>
    <row r="1729" spans="1:12" ht="15" customHeight="1" x14ac:dyDescent="0.3">
      <c r="A1729" s="82" t="str">
        <f t="shared" si="52"/>
        <v>2016</v>
      </c>
      <c r="B1729" s="72" t="s">
        <v>131</v>
      </c>
      <c r="C1729" s="73" t="s">
        <v>132</v>
      </c>
      <c r="D1729" s="74" t="str">
        <f t="shared" si="53"/>
        <v>jul/2016</v>
      </c>
      <c r="E1729" s="53">
        <v>42563</v>
      </c>
      <c r="F1729" s="75" t="s">
        <v>1293</v>
      </c>
      <c r="G1729" s="72"/>
      <c r="H1729" s="49" t="s">
        <v>213</v>
      </c>
      <c r="I1729" s="49" t="s">
        <v>159</v>
      </c>
      <c r="J1729" s="76">
        <v>-916.88</v>
      </c>
      <c r="K1729" s="83" t="str">
        <f>IFERROR(IFERROR(VLOOKUP(I1729,'DE-PARA'!B:D,3,0),VLOOKUP(I1729,'DE-PARA'!C:D,2,0)),"NÃO ENCONTRADO")</f>
        <v>Materiais</v>
      </c>
      <c r="L1729" s="50" t="str">
        <f>VLOOKUP(K1729,'Base -Receita-Despesa'!$B:$P,1,FALSE)</f>
        <v>Materiais</v>
      </c>
    </row>
    <row r="1730" spans="1:12" ht="15" customHeight="1" x14ac:dyDescent="0.3">
      <c r="A1730" s="82" t="str">
        <f t="shared" si="52"/>
        <v>2016</v>
      </c>
      <c r="B1730" s="72" t="s">
        <v>131</v>
      </c>
      <c r="C1730" s="73" t="s">
        <v>132</v>
      </c>
      <c r="D1730" s="74" t="str">
        <f t="shared" si="53"/>
        <v>jul/2016</v>
      </c>
      <c r="E1730" s="53">
        <v>42563</v>
      </c>
      <c r="F1730" s="75" t="s">
        <v>1294</v>
      </c>
      <c r="G1730" s="72"/>
      <c r="H1730" s="49" t="s">
        <v>213</v>
      </c>
      <c r="I1730" s="49" t="s">
        <v>159</v>
      </c>
      <c r="J1730" s="76">
        <v>-1551.44</v>
      </c>
      <c r="K1730" s="83" t="str">
        <f>IFERROR(IFERROR(VLOOKUP(I1730,'DE-PARA'!B:D,3,0),VLOOKUP(I1730,'DE-PARA'!C:D,2,0)),"NÃO ENCONTRADO")</f>
        <v>Materiais</v>
      </c>
      <c r="L1730" s="50" t="str">
        <f>VLOOKUP(K1730,'Base -Receita-Despesa'!$B:$P,1,FALSE)</f>
        <v>Materiais</v>
      </c>
    </row>
    <row r="1731" spans="1:12" ht="15" customHeight="1" x14ac:dyDescent="0.3">
      <c r="A1731" s="82" t="str">
        <f t="shared" si="52"/>
        <v>2016</v>
      </c>
      <c r="B1731" s="72" t="s">
        <v>131</v>
      </c>
      <c r="C1731" s="73" t="s">
        <v>132</v>
      </c>
      <c r="D1731" s="74" t="str">
        <f t="shared" si="53"/>
        <v>jul/2016</v>
      </c>
      <c r="E1731" s="53">
        <v>42563</v>
      </c>
      <c r="F1731" s="75" t="s">
        <v>1295</v>
      </c>
      <c r="G1731" s="72"/>
      <c r="H1731" s="49" t="s">
        <v>213</v>
      </c>
      <c r="I1731" s="49" t="s">
        <v>159</v>
      </c>
      <c r="J1731" s="76">
        <v>-2280.81</v>
      </c>
      <c r="K1731" s="83" t="str">
        <f>IFERROR(IFERROR(VLOOKUP(I1731,'DE-PARA'!B:D,3,0),VLOOKUP(I1731,'DE-PARA'!C:D,2,0)),"NÃO ENCONTRADO")</f>
        <v>Materiais</v>
      </c>
      <c r="L1731" s="50" t="str">
        <f>VLOOKUP(K1731,'Base -Receita-Despesa'!$B:$P,1,FALSE)</f>
        <v>Materiais</v>
      </c>
    </row>
    <row r="1732" spans="1:12" ht="15" customHeight="1" x14ac:dyDescent="0.3">
      <c r="A1732" s="82" t="str">
        <f t="shared" ref="A1732:A1795" si="54">IF(K1732="NÃO ENCONTRADO",0,RIGHT(D1732,4))</f>
        <v>2016</v>
      </c>
      <c r="B1732" s="72" t="s">
        <v>131</v>
      </c>
      <c r="C1732" s="73" t="s">
        <v>132</v>
      </c>
      <c r="D1732" s="74" t="str">
        <f t="shared" ref="D1732:D1795" si="55">TEXT(E1732,"mmm/aaaa")</f>
        <v>jul/2016</v>
      </c>
      <c r="E1732" s="53">
        <v>42563</v>
      </c>
      <c r="F1732" s="75" t="s">
        <v>1296</v>
      </c>
      <c r="G1732" s="72"/>
      <c r="H1732" s="49" t="s">
        <v>213</v>
      </c>
      <c r="I1732" s="49" t="s">
        <v>159</v>
      </c>
      <c r="J1732" s="76">
        <v>-3729.94</v>
      </c>
      <c r="K1732" s="83" t="str">
        <f>IFERROR(IFERROR(VLOOKUP(I1732,'DE-PARA'!B:D,3,0),VLOOKUP(I1732,'DE-PARA'!C:D,2,0)),"NÃO ENCONTRADO")</f>
        <v>Materiais</v>
      </c>
      <c r="L1732" s="50" t="str">
        <f>VLOOKUP(K1732,'Base -Receita-Despesa'!$B:$P,1,FALSE)</f>
        <v>Materiais</v>
      </c>
    </row>
    <row r="1733" spans="1:12" ht="15" customHeight="1" x14ac:dyDescent="0.3">
      <c r="A1733" s="82" t="str">
        <f t="shared" si="54"/>
        <v>2016</v>
      </c>
      <c r="B1733" s="72" t="s">
        <v>131</v>
      </c>
      <c r="C1733" s="73" t="s">
        <v>132</v>
      </c>
      <c r="D1733" s="74" t="str">
        <f t="shared" si="55"/>
        <v>jul/2016</v>
      </c>
      <c r="E1733" s="53">
        <v>42563</v>
      </c>
      <c r="F1733" s="75" t="s">
        <v>199</v>
      </c>
      <c r="G1733" s="72"/>
      <c r="H1733" s="49" t="s">
        <v>128</v>
      </c>
      <c r="I1733" s="49" t="s">
        <v>192</v>
      </c>
      <c r="J1733" s="76">
        <v>-24.9</v>
      </c>
      <c r="K1733" s="83" t="str">
        <f>IFERROR(IFERROR(VLOOKUP(I1733,'DE-PARA'!B:D,3,0),VLOOKUP(I1733,'DE-PARA'!C:D,2,0)),"NÃO ENCONTRADO")</f>
        <v>Materiais</v>
      </c>
      <c r="L1733" s="50" t="str">
        <f>VLOOKUP(K1733,'Base -Receita-Despesa'!$B:$P,1,FALSE)</f>
        <v>Materiais</v>
      </c>
    </row>
    <row r="1734" spans="1:12" ht="15" customHeight="1" x14ac:dyDescent="0.3">
      <c r="A1734" s="82" t="str">
        <f t="shared" si="54"/>
        <v>2016</v>
      </c>
      <c r="B1734" s="72" t="s">
        <v>131</v>
      </c>
      <c r="C1734" s="73" t="s">
        <v>132</v>
      </c>
      <c r="D1734" s="74" t="str">
        <f t="shared" si="55"/>
        <v>jul/2016</v>
      </c>
      <c r="E1734" s="53">
        <v>42563</v>
      </c>
      <c r="F1734" s="75" t="s">
        <v>1297</v>
      </c>
      <c r="G1734" s="72"/>
      <c r="H1734" s="49" t="s">
        <v>215</v>
      </c>
      <c r="I1734" s="49" t="s">
        <v>167</v>
      </c>
      <c r="J1734" s="76">
        <v>-110.7</v>
      </c>
      <c r="K1734" s="83" t="str">
        <f>IFERROR(IFERROR(VLOOKUP(I1734,'DE-PARA'!B:D,3,0),VLOOKUP(I1734,'DE-PARA'!C:D,2,0)),"NÃO ENCONTRADO")</f>
        <v>Materiais</v>
      </c>
      <c r="L1734" s="50" t="str">
        <f>VLOOKUP(K1734,'Base -Receita-Despesa'!$B:$P,1,FALSE)</f>
        <v>Materiais</v>
      </c>
    </row>
    <row r="1735" spans="1:12" ht="15" customHeight="1" x14ac:dyDescent="0.3">
      <c r="A1735" s="82" t="str">
        <f t="shared" si="54"/>
        <v>2016</v>
      </c>
      <c r="B1735" s="72" t="s">
        <v>131</v>
      </c>
      <c r="C1735" s="73" t="s">
        <v>132</v>
      </c>
      <c r="D1735" s="74" t="str">
        <f t="shared" si="55"/>
        <v>jul/2016</v>
      </c>
      <c r="E1735" s="53">
        <v>42563</v>
      </c>
      <c r="F1735" s="75" t="s">
        <v>1122</v>
      </c>
      <c r="G1735" s="72"/>
      <c r="H1735" s="49" t="s">
        <v>215</v>
      </c>
      <c r="I1735" s="49" t="s">
        <v>167</v>
      </c>
      <c r="J1735" s="76">
        <v>-238.4</v>
      </c>
      <c r="K1735" s="83" t="str">
        <f>IFERROR(IFERROR(VLOOKUP(I1735,'DE-PARA'!B:D,3,0),VLOOKUP(I1735,'DE-PARA'!C:D,2,0)),"NÃO ENCONTRADO")</f>
        <v>Materiais</v>
      </c>
      <c r="L1735" s="50" t="str">
        <f>VLOOKUP(K1735,'Base -Receita-Despesa'!$B:$P,1,FALSE)</f>
        <v>Materiais</v>
      </c>
    </row>
    <row r="1736" spans="1:12" ht="15" customHeight="1" x14ac:dyDescent="0.3">
      <c r="A1736" s="82" t="str">
        <f t="shared" si="54"/>
        <v>2016</v>
      </c>
      <c r="B1736" s="72" t="s">
        <v>131</v>
      </c>
      <c r="C1736" s="73" t="s">
        <v>132</v>
      </c>
      <c r="D1736" s="74" t="str">
        <f t="shared" si="55"/>
        <v>jul/2016</v>
      </c>
      <c r="E1736" s="53">
        <v>42563</v>
      </c>
      <c r="F1736" s="75" t="s">
        <v>1012</v>
      </c>
      <c r="G1736" s="72"/>
      <c r="H1736" s="49" t="s">
        <v>229</v>
      </c>
      <c r="I1736" s="49" t="s">
        <v>159</v>
      </c>
      <c r="J1736" s="76">
        <v>-2553.36</v>
      </c>
      <c r="K1736" s="83" t="str">
        <f>IFERROR(IFERROR(VLOOKUP(I1736,'DE-PARA'!B:D,3,0),VLOOKUP(I1736,'DE-PARA'!C:D,2,0)),"NÃO ENCONTRADO")</f>
        <v>Materiais</v>
      </c>
      <c r="L1736" s="50" t="str">
        <f>VLOOKUP(K1736,'Base -Receita-Despesa'!$B:$P,1,FALSE)</f>
        <v>Materiais</v>
      </c>
    </row>
    <row r="1737" spans="1:12" ht="15" customHeight="1" x14ac:dyDescent="0.3">
      <c r="A1737" s="82" t="str">
        <f t="shared" si="54"/>
        <v>2016</v>
      </c>
      <c r="B1737" s="72" t="s">
        <v>131</v>
      </c>
      <c r="C1737" s="73" t="s">
        <v>132</v>
      </c>
      <c r="D1737" s="74" t="str">
        <f t="shared" si="55"/>
        <v>jul/2016</v>
      </c>
      <c r="E1737" s="53">
        <v>42563</v>
      </c>
      <c r="F1737" s="75" t="s">
        <v>1298</v>
      </c>
      <c r="G1737" s="72"/>
      <c r="H1737" s="49" t="s">
        <v>229</v>
      </c>
      <c r="I1737" s="49" t="s">
        <v>159</v>
      </c>
      <c r="J1737" s="76">
        <v>-913.49</v>
      </c>
      <c r="K1737" s="83" t="str">
        <f>IFERROR(IFERROR(VLOOKUP(I1737,'DE-PARA'!B:D,3,0),VLOOKUP(I1737,'DE-PARA'!C:D,2,0)),"NÃO ENCONTRADO")</f>
        <v>Materiais</v>
      </c>
      <c r="L1737" s="50" t="str">
        <f>VLOOKUP(K1737,'Base -Receita-Despesa'!$B:$P,1,FALSE)</f>
        <v>Materiais</v>
      </c>
    </row>
    <row r="1738" spans="1:12" ht="15" customHeight="1" x14ac:dyDescent="0.3">
      <c r="A1738" s="82" t="str">
        <f t="shared" si="54"/>
        <v>2016</v>
      </c>
      <c r="B1738" s="72" t="s">
        <v>131</v>
      </c>
      <c r="C1738" s="73" t="s">
        <v>132</v>
      </c>
      <c r="D1738" s="74" t="str">
        <f t="shared" si="55"/>
        <v>jul/2016</v>
      </c>
      <c r="E1738" s="53">
        <v>42563</v>
      </c>
      <c r="F1738" s="75" t="s">
        <v>1223</v>
      </c>
      <c r="G1738" s="72"/>
      <c r="H1738" s="49" t="s">
        <v>229</v>
      </c>
      <c r="I1738" s="49" t="s">
        <v>159</v>
      </c>
      <c r="J1738" s="76">
        <v>-1180</v>
      </c>
      <c r="K1738" s="83" t="str">
        <f>IFERROR(IFERROR(VLOOKUP(I1738,'DE-PARA'!B:D,3,0),VLOOKUP(I1738,'DE-PARA'!C:D,2,0)),"NÃO ENCONTRADO")</f>
        <v>Materiais</v>
      </c>
      <c r="L1738" s="50" t="str">
        <f>VLOOKUP(K1738,'Base -Receita-Despesa'!$B:$P,1,FALSE)</f>
        <v>Materiais</v>
      </c>
    </row>
    <row r="1739" spans="1:12" ht="15" customHeight="1" x14ac:dyDescent="0.3">
      <c r="A1739" s="82" t="str">
        <f t="shared" si="54"/>
        <v>2016</v>
      </c>
      <c r="B1739" s="72" t="s">
        <v>131</v>
      </c>
      <c r="C1739" s="73" t="s">
        <v>132</v>
      </c>
      <c r="D1739" s="74" t="str">
        <f t="shared" si="55"/>
        <v>jul/2016</v>
      </c>
      <c r="E1739" s="53">
        <v>42563</v>
      </c>
      <c r="F1739" s="75" t="s">
        <v>1299</v>
      </c>
      <c r="G1739" s="72"/>
      <c r="H1739" s="49" t="s">
        <v>229</v>
      </c>
      <c r="I1739" s="49" t="s">
        <v>159</v>
      </c>
      <c r="J1739" s="76">
        <v>-2070.13</v>
      </c>
      <c r="K1739" s="83" t="str">
        <f>IFERROR(IFERROR(VLOOKUP(I1739,'DE-PARA'!B:D,3,0),VLOOKUP(I1739,'DE-PARA'!C:D,2,0)),"NÃO ENCONTRADO")</f>
        <v>Materiais</v>
      </c>
      <c r="L1739" s="50" t="str">
        <f>VLOOKUP(K1739,'Base -Receita-Despesa'!$B:$P,1,FALSE)</f>
        <v>Materiais</v>
      </c>
    </row>
    <row r="1740" spans="1:12" ht="15" customHeight="1" x14ac:dyDescent="0.3">
      <c r="A1740" s="82" t="str">
        <f t="shared" si="54"/>
        <v>2016</v>
      </c>
      <c r="B1740" s="72" t="s">
        <v>131</v>
      </c>
      <c r="C1740" s="73" t="s">
        <v>132</v>
      </c>
      <c r="D1740" s="74" t="str">
        <f t="shared" si="55"/>
        <v>jul/2016</v>
      </c>
      <c r="E1740" s="53">
        <v>42563</v>
      </c>
      <c r="F1740" s="75" t="s">
        <v>1300</v>
      </c>
      <c r="G1740" s="72"/>
      <c r="H1740" s="49" t="s">
        <v>229</v>
      </c>
      <c r="I1740" s="49" t="s">
        <v>159</v>
      </c>
      <c r="J1740" s="76">
        <v>-1092.6600000000001</v>
      </c>
      <c r="K1740" s="83" t="str">
        <f>IFERROR(IFERROR(VLOOKUP(I1740,'DE-PARA'!B:D,3,0),VLOOKUP(I1740,'DE-PARA'!C:D,2,0)),"NÃO ENCONTRADO")</f>
        <v>Materiais</v>
      </c>
      <c r="L1740" s="50" t="str">
        <f>VLOOKUP(K1740,'Base -Receita-Despesa'!$B:$P,1,FALSE)</f>
        <v>Materiais</v>
      </c>
    </row>
    <row r="1741" spans="1:12" ht="15" customHeight="1" x14ac:dyDescent="0.3">
      <c r="A1741" s="82" t="str">
        <f t="shared" si="54"/>
        <v>2016</v>
      </c>
      <c r="B1741" s="72" t="s">
        <v>131</v>
      </c>
      <c r="C1741" s="73" t="s">
        <v>132</v>
      </c>
      <c r="D1741" s="74" t="str">
        <f t="shared" si="55"/>
        <v>jul/2016</v>
      </c>
      <c r="E1741" s="53">
        <v>42563</v>
      </c>
      <c r="F1741" s="75" t="s">
        <v>1301</v>
      </c>
      <c r="G1741" s="72"/>
      <c r="H1741" s="49" t="s">
        <v>172</v>
      </c>
      <c r="I1741" s="49" t="s">
        <v>173</v>
      </c>
      <c r="J1741" s="76">
        <v>-12956.27</v>
      </c>
      <c r="K1741" s="83" t="str">
        <f>IFERROR(IFERROR(VLOOKUP(I1741,'DE-PARA'!B:D,3,0),VLOOKUP(I1741,'DE-PARA'!C:D,2,0)),"NÃO ENCONTRADO")</f>
        <v>Serviços</v>
      </c>
      <c r="L1741" s="50" t="str">
        <f>VLOOKUP(K1741,'Base -Receita-Despesa'!$B:$P,1,FALSE)</f>
        <v>Serviços</v>
      </c>
    </row>
    <row r="1742" spans="1:12" ht="15" customHeight="1" x14ac:dyDescent="0.3">
      <c r="A1742" s="82" t="str">
        <f t="shared" si="54"/>
        <v>2016</v>
      </c>
      <c r="B1742" s="72" t="s">
        <v>131</v>
      </c>
      <c r="C1742" s="73" t="s">
        <v>132</v>
      </c>
      <c r="D1742" s="74" t="str">
        <f t="shared" si="55"/>
        <v>jul/2016</v>
      </c>
      <c r="E1742" s="53">
        <v>42563</v>
      </c>
      <c r="F1742" s="75" t="s">
        <v>1045</v>
      </c>
      <c r="G1742" s="72"/>
      <c r="H1742" s="49" t="s">
        <v>1046</v>
      </c>
      <c r="I1742" s="49" t="s">
        <v>121</v>
      </c>
      <c r="J1742" s="76">
        <v>500000</v>
      </c>
      <c r="K1742" s="83" t="s">
        <v>93</v>
      </c>
      <c r="L1742" s="50" t="str">
        <f>VLOOKUP(K1742,'Base -Receita-Despesa'!$B:$P,1,FALSE)</f>
        <v>Transferências da c/c para c/a ou c/p (-)</v>
      </c>
    </row>
    <row r="1743" spans="1:12" ht="15" customHeight="1" x14ac:dyDescent="0.3">
      <c r="A1743" s="82" t="str">
        <f t="shared" si="54"/>
        <v>2016</v>
      </c>
      <c r="B1743" s="72" t="s">
        <v>131</v>
      </c>
      <c r="C1743" s="73" t="s">
        <v>132</v>
      </c>
      <c r="D1743" s="74" t="str">
        <f t="shared" si="55"/>
        <v>jul/2016</v>
      </c>
      <c r="E1743" s="53">
        <v>42563</v>
      </c>
      <c r="F1743" s="75" t="s">
        <v>1302</v>
      </c>
      <c r="G1743" s="72"/>
      <c r="H1743" s="49" t="s">
        <v>218</v>
      </c>
      <c r="I1743" s="49" t="s">
        <v>110</v>
      </c>
      <c r="J1743" s="76">
        <v>-4392</v>
      </c>
      <c r="K1743" s="83" t="str">
        <f>IFERROR(IFERROR(VLOOKUP(I1743,'DE-PARA'!B:D,3,0),VLOOKUP(I1743,'DE-PARA'!C:D,2,0)),"NÃO ENCONTRADO")</f>
        <v>Serviços</v>
      </c>
      <c r="L1743" s="50" t="str">
        <f>VLOOKUP(K1743,'Base -Receita-Despesa'!$B:$P,1,FALSE)</f>
        <v>Serviços</v>
      </c>
    </row>
    <row r="1744" spans="1:12" ht="15" customHeight="1" x14ac:dyDescent="0.3">
      <c r="A1744" s="82" t="str">
        <f t="shared" si="54"/>
        <v>2016</v>
      </c>
      <c r="B1744" s="72" t="s">
        <v>131</v>
      </c>
      <c r="C1744" s="73" t="s">
        <v>132</v>
      </c>
      <c r="D1744" s="74" t="str">
        <f t="shared" si="55"/>
        <v>jul/2016</v>
      </c>
      <c r="E1744" s="53">
        <v>42563</v>
      </c>
      <c r="F1744" s="75" t="s">
        <v>1303</v>
      </c>
      <c r="G1744" s="72"/>
      <c r="H1744" s="49" t="s">
        <v>190</v>
      </c>
      <c r="I1744" s="49" t="s">
        <v>191</v>
      </c>
      <c r="J1744" s="76">
        <v>-3190.9</v>
      </c>
      <c r="K1744" s="83" t="str">
        <f>IFERROR(IFERROR(VLOOKUP(I1744,'DE-PARA'!B:D,3,0),VLOOKUP(I1744,'DE-PARA'!C:D,2,0)),"NÃO ENCONTRADO")</f>
        <v>Serviços</v>
      </c>
      <c r="L1744" s="50" t="str">
        <f>VLOOKUP(K1744,'Base -Receita-Despesa'!$B:$P,1,FALSE)</f>
        <v>Serviços</v>
      </c>
    </row>
    <row r="1745" spans="1:12" ht="15" customHeight="1" x14ac:dyDescent="0.3">
      <c r="A1745" s="82" t="str">
        <f t="shared" si="54"/>
        <v>2016</v>
      </c>
      <c r="B1745" s="72" t="s">
        <v>249</v>
      </c>
      <c r="C1745" s="73" t="s">
        <v>132</v>
      </c>
      <c r="D1745" s="74" t="str">
        <f t="shared" si="55"/>
        <v>jul/2016</v>
      </c>
      <c r="E1745" s="53">
        <v>42564</v>
      </c>
      <c r="F1745" s="75" t="s">
        <v>1045</v>
      </c>
      <c r="G1745" s="72"/>
      <c r="H1745" s="49" t="s">
        <v>1243</v>
      </c>
      <c r="I1745" s="49" t="s">
        <v>121</v>
      </c>
      <c r="J1745" s="76">
        <v>-155377.74</v>
      </c>
      <c r="K1745" s="83" t="s">
        <v>93</v>
      </c>
      <c r="L1745" s="50" t="str">
        <f>VLOOKUP(K1745,'Base -Receita-Despesa'!$B:$P,1,FALSE)</f>
        <v>Transferências da c/c para c/a ou c/p (-)</v>
      </c>
    </row>
    <row r="1746" spans="1:12" ht="15" customHeight="1" x14ac:dyDescent="0.3">
      <c r="A1746" s="82" t="str">
        <f t="shared" si="54"/>
        <v>2016</v>
      </c>
      <c r="B1746" s="72" t="s">
        <v>131</v>
      </c>
      <c r="C1746" s="73" t="s">
        <v>132</v>
      </c>
      <c r="D1746" s="74" t="str">
        <f t="shared" si="55"/>
        <v>jul/2016</v>
      </c>
      <c r="E1746" s="53">
        <v>42564</v>
      </c>
      <c r="F1746" s="75" t="s">
        <v>1304</v>
      </c>
      <c r="G1746" s="72"/>
      <c r="H1746" s="49" t="s">
        <v>517</v>
      </c>
      <c r="I1746" s="49" t="s">
        <v>159</v>
      </c>
      <c r="J1746" s="76">
        <v>-3402.8</v>
      </c>
      <c r="K1746" s="83" t="str">
        <f>IFERROR(IFERROR(VLOOKUP(I1746,'DE-PARA'!B:D,3,0),VLOOKUP(I1746,'DE-PARA'!C:D,2,0)),"NÃO ENCONTRADO")</f>
        <v>Materiais</v>
      </c>
      <c r="L1746" s="50" t="str">
        <f>VLOOKUP(K1746,'Base -Receita-Despesa'!$B:$P,1,FALSE)</f>
        <v>Materiais</v>
      </c>
    </row>
    <row r="1747" spans="1:12" ht="15" customHeight="1" x14ac:dyDescent="0.3">
      <c r="A1747" s="82" t="str">
        <f t="shared" si="54"/>
        <v>2016</v>
      </c>
      <c r="B1747" s="72" t="s">
        <v>131</v>
      </c>
      <c r="C1747" s="73" t="s">
        <v>132</v>
      </c>
      <c r="D1747" s="74" t="str">
        <f t="shared" si="55"/>
        <v>jul/2016</v>
      </c>
      <c r="E1747" s="53">
        <v>42564</v>
      </c>
      <c r="F1747" s="75" t="s">
        <v>1045</v>
      </c>
      <c r="G1747" s="72"/>
      <c r="H1747" s="49" t="s">
        <v>1046</v>
      </c>
      <c r="I1747" s="49" t="s">
        <v>121</v>
      </c>
      <c r="J1747" s="76">
        <v>155377.74</v>
      </c>
      <c r="K1747" s="83" t="s">
        <v>93</v>
      </c>
      <c r="L1747" s="50" t="str">
        <f>VLOOKUP(K1747,'Base -Receita-Despesa'!$B:$P,1,FALSE)</f>
        <v>Transferências da c/c para c/a ou c/p (-)</v>
      </c>
    </row>
    <row r="1748" spans="1:12" ht="15" customHeight="1" x14ac:dyDescent="0.3">
      <c r="A1748" s="82" t="str">
        <f t="shared" si="54"/>
        <v>2016</v>
      </c>
      <c r="B1748" s="72" t="s">
        <v>131</v>
      </c>
      <c r="C1748" s="73" t="s">
        <v>132</v>
      </c>
      <c r="D1748" s="74" t="str">
        <f t="shared" si="55"/>
        <v>jul/2016</v>
      </c>
      <c r="E1748" s="53">
        <v>42565</v>
      </c>
      <c r="F1748" s="75" t="s">
        <v>594</v>
      </c>
      <c r="G1748" s="72"/>
      <c r="H1748" s="49" t="s">
        <v>594</v>
      </c>
      <c r="I1748" s="49" t="s">
        <v>1048</v>
      </c>
      <c r="J1748" s="76">
        <v>-350000</v>
      </c>
      <c r="K1748" s="83" t="str">
        <f>IFERROR(IFERROR(VLOOKUP(I1748,'DE-PARA'!B:D,3,0),VLOOKUP(I1748,'DE-PARA'!C:D,2,0)),"NÃO ENCONTRADO")</f>
        <v>Saídas Da C/A Por Regates (-)</v>
      </c>
      <c r="L1748" s="50" t="str">
        <f>VLOOKUP(K1748,'Base -Receita-Despesa'!$B:$P,1,FALSE)</f>
        <v>SAÍDAS DA C/A POR REGATES (-)</v>
      </c>
    </row>
    <row r="1749" spans="1:12" ht="15" customHeight="1" x14ac:dyDescent="0.3">
      <c r="A1749" s="82" t="str">
        <f t="shared" si="54"/>
        <v>2016</v>
      </c>
      <c r="B1749" s="72" t="s">
        <v>131</v>
      </c>
      <c r="C1749" s="73" t="s">
        <v>132</v>
      </c>
      <c r="D1749" s="74" t="str">
        <f t="shared" si="55"/>
        <v>jul/2016</v>
      </c>
      <c r="E1749" s="53">
        <v>42565</v>
      </c>
      <c r="F1749" s="75" t="s">
        <v>1305</v>
      </c>
      <c r="G1749" s="72"/>
      <c r="H1749" s="49" t="s">
        <v>691</v>
      </c>
      <c r="I1749" s="49" t="s">
        <v>167</v>
      </c>
      <c r="J1749" s="76">
        <v>-648.99</v>
      </c>
      <c r="K1749" s="83" t="str">
        <f>IFERROR(IFERROR(VLOOKUP(I1749,'DE-PARA'!B:D,3,0),VLOOKUP(I1749,'DE-PARA'!C:D,2,0)),"NÃO ENCONTRADO")</f>
        <v>Materiais</v>
      </c>
      <c r="L1749" s="50" t="str">
        <f>VLOOKUP(K1749,'Base -Receita-Despesa'!$B:$P,1,FALSE)</f>
        <v>Materiais</v>
      </c>
    </row>
    <row r="1750" spans="1:12" ht="15" customHeight="1" x14ac:dyDescent="0.3">
      <c r="A1750" s="82" t="str">
        <f t="shared" si="54"/>
        <v>2016</v>
      </c>
      <c r="B1750" s="72" t="s">
        <v>131</v>
      </c>
      <c r="C1750" s="73" t="s">
        <v>132</v>
      </c>
      <c r="D1750" s="74" t="str">
        <f t="shared" si="55"/>
        <v>jul/2016</v>
      </c>
      <c r="E1750" s="53">
        <v>42566</v>
      </c>
      <c r="F1750" s="75" t="s">
        <v>1306</v>
      </c>
      <c r="G1750" s="72"/>
      <c r="H1750" s="49" t="s">
        <v>1247</v>
      </c>
      <c r="I1750" s="49" t="s">
        <v>168</v>
      </c>
      <c r="J1750" s="76">
        <v>-23.62</v>
      </c>
      <c r="K1750" s="83" t="str">
        <f>IFERROR(IFERROR(VLOOKUP(I1750,'DE-PARA'!B:D,3,0),VLOOKUP(I1750,'DE-PARA'!C:D,2,0)),"NÃO ENCONTRADO")</f>
        <v>Pessoal</v>
      </c>
      <c r="L1750" s="50" t="str">
        <f>VLOOKUP(K1750,'Base -Receita-Despesa'!$B:$P,1,FALSE)</f>
        <v>Pessoal</v>
      </c>
    </row>
    <row r="1751" spans="1:12" ht="15" customHeight="1" x14ac:dyDescent="0.3">
      <c r="A1751" s="82" t="str">
        <f t="shared" si="54"/>
        <v>2016</v>
      </c>
      <c r="B1751" s="72" t="s">
        <v>131</v>
      </c>
      <c r="C1751" s="73" t="s">
        <v>132</v>
      </c>
      <c r="D1751" s="74" t="str">
        <f t="shared" si="55"/>
        <v>jul/2016</v>
      </c>
      <c r="E1751" s="53">
        <v>42566</v>
      </c>
      <c r="F1751" s="75" t="s">
        <v>1307</v>
      </c>
      <c r="G1751" s="72"/>
      <c r="H1751" s="49" t="s">
        <v>176</v>
      </c>
      <c r="I1751" s="49" t="s">
        <v>177</v>
      </c>
      <c r="J1751" s="76">
        <v>-2832.09</v>
      </c>
      <c r="K1751" s="83" t="str">
        <f>IFERROR(IFERROR(VLOOKUP(I1751,'DE-PARA'!B:D,3,0),VLOOKUP(I1751,'DE-PARA'!C:D,2,0)),"NÃO ENCONTRADO")</f>
        <v>Materiais</v>
      </c>
      <c r="L1751" s="50" t="str">
        <f>VLOOKUP(K1751,'Base -Receita-Despesa'!$B:$P,1,FALSE)</f>
        <v>Materiais</v>
      </c>
    </row>
    <row r="1752" spans="1:12" ht="15" customHeight="1" x14ac:dyDescent="0.3">
      <c r="A1752" s="82" t="str">
        <f t="shared" si="54"/>
        <v>2016</v>
      </c>
      <c r="B1752" s="72" t="s">
        <v>131</v>
      </c>
      <c r="C1752" s="73" t="s">
        <v>132</v>
      </c>
      <c r="D1752" s="74" t="str">
        <f t="shared" si="55"/>
        <v>jul/2016</v>
      </c>
      <c r="E1752" s="53">
        <v>42566</v>
      </c>
      <c r="F1752" s="75" t="s">
        <v>184</v>
      </c>
      <c r="G1752" s="72"/>
      <c r="H1752" s="49" t="s">
        <v>1308</v>
      </c>
      <c r="I1752" s="49" t="s">
        <v>186</v>
      </c>
      <c r="J1752" s="76">
        <v>-128849.95</v>
      </c>
      <c r="K1752" s="83" t="str">
        <f>IFERROR(IFERROR(VLOOKUP(I1752,'DE-PARA'!B:D,3,0),VLOOKUP(I1752,'DE-PARA'!C:D,2,0)),"NÃO ENCONTRADO")</f>
        <v>Encargos sobre Folha de Pagamento</v>
      </c>
      <c r="L1752" s="50" t="str">
        <f>VLOOKUP(K1752,'Base -Receita-Despesa'!$B:$P,1,FALSE)</f>
        <v>Encargos sobre Folha de Pagamento</v>
      </c>
    </row>
    <row r="1753" spans="1:12" ht="15" customHeight="1" x14ac:dyDescent="0.3">
      <c r="A1753" s="82" t="str">
        <f t="shared" si="54"/>
        <v>2016</v>
      </c>
      <c r="B1753" s="72" t="s">
        <v>131</v>
      </c>
      <c r="C1753" s="73" t="s">
        <v>132</v>
      </c>
      <c r="D1753" s="74" t="str">
        <f t="shared" si="55"/>
        <v>jul/2016</v>
      </c>
      <c r="E1753" s="53">
        <v>42566</v>
      </c>
      <c r="F1753" s="75" t="s">
        <v>164</v>
      </c>
      <c r="G1753" s="72"/>
      <c r="H1753" s="49" t="s">
        <v>1309</v>
      </c>
      <c r="I1753" s="49" t="s">
        <v>114</v>
      </c>
      <c r="J1753" s="76">
        <v>-1961.84</v>
      </c>
      <c r="K1753" s="83" t="str">
        <f>IFERROR(IFERROR(VLOOKUP(I1753,'DE-PARA'!B:D,3,0),VLOOKUP(I1753,'DE-PARA'!C:D,2,0)),"NÃO ENCONTRADO")</f>
        <v>Serviços</v>
      </c>
      <c r="L1753" s="50" t="str">
        <f>VLOOKUP(K1753,'Base -Receita-Despesa'!$B:$P,1,FALSE)</f>
        <v>Serviços</v>
      </c>
    </row>
    <row r="1754" spans="1:12" ht="15" customHeight="1" x14ac:dyDescent="0.3">
      <c r="A1754" s="82" t="str">
        <f t="shared" si="54"/>
        <v>2016</v>
      </c>
      <c r="B1754" s="72" t="s">
        <v>131</v>
      </c>
      <c r="C1754" s="73" t="s">
        <v>132</v>
      </c>
      <c r="D1754" s="74" t="str">
        <f t="shared" si="55"/>
        <v>jul/2016</v>
      </c>
      <c r="E1754" s="53">
        <v>42566</v>
      </c>
      <c r="F1754" s="75" t="s">
        <v>164</v>
      </c>
      <c r="G1754" s="72"/>
      <c r="H1754" s="49" t="s">
        <v>1310</v>
      </c>
      <c r="I1754" s="49" t="s">
        <v>113</v>
      </c>
      <c r="J1754" s="76">
        <v>-4456.26</v>
      </c>
      <c r="K1754" s="83" t="str">
        <f>IFERROR(IFERROR(VLOOKUP(I1754,'DE-PARA'!B:D,3,0),VLOOKUP(I1754,'DE-PARA'!C:D,2,0)),"NÃO ENCONTRADO")</f>
        <v>Serviços</v>
      </c>
      <c r="L1754" s="50" t="str">
        <f>VLOOKUP(K1754,'Base -Receita-Despesa'!$B:$P,1,FALSE)</f>
        <v>Serviços</v>
      </c>
    </row>
    <row r="1755" spans="1:12" ht="15" customHeight="1" x14ac:dyDescent="0.3">
      <c r="A1755" s="82" t="str">
        <f t="shared" si="54"/>
        <v>2016</v>
      </c>
      <c r="B1755" s="72" t="s">
        <v>131</v>
      </c>
      <c r="C1755" s="73" t="s">
        <v>132</v>
      </c>
      <c r="D1755" s="74" t="str">
        <f t="shared" si="55"/>
        <v>jul/2016</v>
      </c>
      <c r="E1755" s="53">
        <v>42566</v>
      </c>
      <c r="F1755" s="75" t="s">
        <v>164</v>
      </c>
      <c r="G1755" s="72"/>
      <c r="H1755" s="49" t="s">
        <v>1311</v>
      </c>
      <c r="I1755" s="49" t="s">
        <v>173</v>
      </c>
      <c r="J1755" s="76">
        <v>-912.34</v>
      </c>
      <c r="K1755" s="83" t="str">
        <f>IFERROR(IFERROR(VLOOKUP(I1755,'DE-PARA'!B:D,3,0),VLOOKUP(I1755,'DE-PARA'!C:D,2,0)),"NÃO ENCONTRADO")</f>
        <v>Serviços</v>
      </c>
      <c r="L1755" s="50" t="str">
        <f>VLOOKUP(K1755,'Base -Receita-Despesa'!$B:$P,1,FALSE)</f>
        <v>Serviços</v>
      </c>
    </row>
    <row r="1756" spans="1:12" ht="15" customHeight="1" x14ac:dyDescent="0.3">
      <c r="A1756" s="82" t="str">
        <f t="shared" si="54"/>
        <v>2016</v>
      </c>
      <c r="B1756" s="72" t="s">
        <v>131</v>
      </c>
      <c r="C1756" s="73" t="s">
        <v>132</v>
      </c>
      <c r="D1756" s="74" t="str">
        <f t="shared" si="55"/>
        <v>jul/2016</v>
      </c>
      <c r="E1756" s="53">
        <v>42566</v>
      </c>
      <c r="F1756" s="75" t="s">
        <v>164</v>
      </c>
      <c r="G1756" s="72"/>
      <c r="H1756" s="49" t="s">
        <v>1312</v>
      </c>
      <c r="I1756" s="49" t="s">
        <v>173</v>
      </c>
      <c r="J1756" s="76">
        <v>-428.22</v>
      </c>
      <c r="K1756" s="83" t="str">
        <f>IFERROR(IFERROR(VLOOKUP(I1756,'DE-PARA'!B:D,3,0),VLOOKUP(I1756,'DE-PARA'!C:D,2,0)),"NÃO ENCONTRADO")</f>
        <v>Serviços</v>
      </c>
      <c r="L1756" s="50" t="str">
        <f>VLOOKUP(K1756,'Base -Receita-Despesa'!$B:$P,1,FALSE)</f>
        <v>Serviços</v>
      </c>
    </row>
    <row r="1757" spans="1:12" ht="15" customHeight="1" x14ac:dyDescent="0.3">
      <c r="A1757" s="82" t="str">
        <f t="shared" si="54"/>
        <v>2016</v>
      </c>
      <c r="B1757" s="72" t="s">
        <v>131</v>
      </c>
      <c r="C1757" s="73" t="s">
        <v>132</v>
      </c>
      <c r="D1757" s="74" t="str">
        <f t="shared" si="55"/>
        <v>jul/2016</v>
      </c>
      <c r="E1757" s="53">
        <v>42566</v>
      </c>
      <c r="F1757" s="75" t="s">
        <v>164</v>
      </c>
      <c r="G1757" s="72"/>
      <c r="H1757" s="49" t="s">
        <v>1313</v>
      </c>
      <c r="I1757" s="49" t="s">
        <v>171</v>
      </c>
      <c r="J1757" s="76">
        <v>-320.14</v>
      </c>
      <c r="K1757" s="83" t="str">
        <f>IFERROR(IFERROR(VLOOKUP(I1757,'DE-PARA'!B:D,3,0),VLOOKUP(I1757,'DE-PARA'!C:D,2,0)),"NÃO ENCONTRADO")</f>
        <v>Serviços</v>
      </c>
      <c r="L1757" s="50" t="str">
        <f>VLOOKUP(K1757,'Base -Receita-Despesa'!$B:$P,1,FALSE)</f>
        <v>Serviços</v>
      </c>
    </row>
    <row r="1758" spans="1:12" ht="15" customHeight="1" x14ac:dyDescent="0.3">
      <c r="A1758" s="82" t="str">
        <f t="shared" si="54"/>
        <v>2016</v>
      </c>
      <c r="B1758" s="72" t="s">
        <v>131</v>
      </c>
      <c r="C1758" s="73" t="s">
        <v>132</v>
      </c>
      <c r="D1758" s="74" t="str">
        <f t="shared" si="55"/>
        <v>jul/2016</v>
      </c>
      <c r="E1758" s="53">
        <v>42566</v>
      </c>
      <c r="F1758" s="75" t="s">
        <v>164</v>
      </c>
      <c r="G1758" s="72"/>
      <c r="H1758" s="49" t="s">
        <v>1314</v>
      </c>
      <c r="I1758" s="49" t="s">
        <v>171</v>
      </c>
      <c r="J1758" s="76">
        <v>-792</v>
      </c>
      <c r="K1758" s="83" t="str">
        <f>IFERROR(IFERROR(VLOOKUP(I1758,'DE-PARA'!B:D,3,0),VLOOKUP(I1758,'DE-PARA'!C:D,2,0)),"NÃO ENCONTRADO")</f>
        <v>Serviços</v>
      </c>
      <c r="L1758" s="50" t="str">
        <f>VLOOKUP(K1758,'Base -Receita-Despesa'!$B:$P,1,FALSE)</f>
        <v>Serviços</v>
      </c>
    </row>
    <row r="1759" spans="1:12" ht="15" customHeight="1" x14ac:dyDescent="0.3">
      <c r="A1759" s="82" t="str">
        <f t="shared" si="54"/>
        <v>2016</v>
      </c>
      <c r="B1759" s="72" t="s">
        <v>131</v>
      </c>
      <c r="C1759" s="73" t="s">
        <v>132</v>
      </c>
      <c r="D1759" s="74" t="str">
        <f t="shared" si="55"/>
        <v>jul/2016</v>
      </c>
      <c r="E1759" s="53">
        <v>42566</v>
      </c>
      <c r="F1759" s="75" t="s">
        <v>1306</v>
      </c>
      <c r="G1759" s="72"/>
      <c r="H1759" s="49" t="s">
        <v>1252</v>
      </c>
      <c r="I1759" s="49" t="s">
        <v>168</v>
      </c>
      <c r="J1759" s="76">
        <v>-28.36</v>
      </c>
      <c r="K1759" s="83" t="str">
        <f>IFERROR(IFERROR(VLOOKUP(I1759,'DE-PARA'!B:D,3,0),VLOOKUP(I1759,'DE-PARA'!C:D,2,0)),"NÃO ENCONTRADO")</f>
        <v>Pessoal</v>
      </c>
      <c r="L1759" s="50" t="str">
        <f>VLOOKUP(K1759,'Base -Receita-Despesa'!$B:$P,1,FALSE)</f>
        <v>Pessoal</v>
      </c>
    </row>
    <row r="1760" spans="1:12" ht="15" customHeight="1" x14ac:dyDescent="0.3">
      <c r="A1760" s="82" t="str">
        <f t="shared" si="54"/>
        <v>2016</v>
      </c>
      <c r="B1760" s="72" t="s">
        <v>131</v>
      </c>
      <c r="C1760" s="73" t="s">
        <v>132</v>
      </c>
      <c r="D1760" s="74" t="str">
        <f t="shared" si="55"/>
        <v>jul/2016</v>
      </c>
      <c r="E1760" s="53">
        <v>42566</v>
      </c>
      <c r="F1760" s="75" t="s">
        <v>1054</v>
      </c>
      <c r="G1760" s="72"/>
      <c r="H1760" s="49" t="s">
        <v>1055</v>
      </c>
      <c r="I1760" s="49" t="s">
        <v>1056</v>
      </c>
      <c r="J1760" s="76">
        <v>125543.16</v>
      </c>
      <c r="K1760" s="83" t="str">
        <f>IFERROR(IFERROR(VLOOKUP(I1760,'DE-PARA'!B:D,3,0),VLOOKUP(I1760,'DE-PARA'!C:D,2,0)),"NÃO ENCONTRADO")</f>
        <v>ENTRADA CONTA APLICAÇÃO (+)</v>
      </c>
      <c r="L1760" s="50" t="str">
        <f>VLOOKUP(K1760,'Base -Receita-Despesa'!$B:$P,1,FALSE)</f>
        <v>ENTRADA CONTA APLICAÇÃO (+)</v>
      </c>
    </row>
    <row r="1761" spans="1:12" ht="15" customHeight="1" x14ac:dyDescent="0.3">
      <c r="A1761" s="82" t="str">
        <f t="shared" si="54"/>
        <v>2016</v>
      </c>
      <c r="B1761" s="72" t="s">
        <v>131</v>
      </c>
      <c r="C1761" s="73" t="s">
        <v>132</v>
      </c>
      <c r="D1761" s="74" t="str">
        <f t="shared" si="55"/>
        <v>jul/2016</v>
      </c>
      <c r="E1761" s="53">
        <v>42569</v>
      </c>
      <c r="F1761" s="75" t="s">
        <v>1125</v>
      </c>
      <c r="G1761" s="72"/>
      <c r="H1761" s="49" t="s">
        <v>187</v>
      </c>
      <c r="I1761" s="49" t="s">
        <v>159</v>
      </c>
      <c r="J1761" s="76">
        <v>-1359.6</v>
      </c>
      <c r="K1761" s="83" t="str">
        <f>IFERROR(IFERROR(VLOOKUP(I1761,'DE-PARA'!B:D,3,0),VLOOKUP(I1761,'DE-PARA'!C:D,2,0)),"NÃO ENCONTRADO")</f>
        <v>Materiais</v>
      </c>
      <c r="L1761" s="50" t="str">
        <f>VLOOKUP(K1761,'Base -Receita-Despesa'!$B:$P,1,FALSE)</f>
        <v>Materiais</v>
      </c>
    </row>
    <row r="1762" spans="1:12" ht="15" customHeight="1" x14ac:dyDescent="0.3">
      <c r="A1762" s="82" t="str">
        <f t="shared" si="54"/>
        <v>2016</v>
      </c>
      <c r="B1762" s="72" t="s">
        <v>131</v>
      </c>
      <c r="C1762" s="73" t="s">
        <v>132</v>
      </c>
      <c r="D1762" s="74" t="str">
        <f t="shared" si="55"/>
        <v>jul/2016</v>
      </c>
      <c r="E1762" s="53">
        <v>42569</v>
      </c>
      <c r="F1762" s="75" t="s">
        <v>1315</v>
      </c>
      <c r="G1762" s="72"/>
      <c r="H1762" s="49" t="s">
        <v>220</v>
      </c>
      <c r="I1762" s="49" t="s">
        <v>180</v>
      </c>
      <c r="J1762" s="76">
        <v>-832.4</v>
      </c>
      <c r="K1762" s="83" t="str">
        <f>IFERROR(IFERROR(VLOOKUP(I1762,'DE-PARA'!B:D,3,0),VLOOKUP(I1762,'DE-PARA'!C:D,2,0)),"NÃO ENCONTRADO")</f>
        <v>Serviços</v>
      </c>
      <c r="L1762" s="50" t="str">
        <f>VLOOKUP(K1762,'Base -Receita-Despesa'!$B:$P,1,FALSE)</f>
        <v>Serviços</v>
      </c>
    </row>
    <row r="1763" spans="1:12" ht="15" customHeight="1" x14ac:dyDescent="0.3">
      <c r="A1763" s="82" t="str">
        <f t="shared" si="54"/>
        <v>2016</v>
      </c>
      <c r="B1763" s="72" t="s">
        <v>131</v>
      </c>
      <c r="C1763" s="73" t="s">
        <v>132</v>
      </c>
      <c r="D1763" s="74" t="str">
        <f t="shared" si="55"/>
        <v>jul/2016</v>
      </c>
      <c r="E1763" s="53">
        <v>42569</v>
      </c>
      <c r="F1763" s="75" t="s">
        <v>1280</v>
      </c>
      <c r="G1763" s="72"/>
      <c r="H1763" s="49" t="s">
        <v>220</v>
      </c>
      <c r="I1763" s="49" t="s">
        <v>180</v>
      </c>
      <c r="J1763" s="76">
        <v>-20000</v>
      </c>
      <c r="K1763" s="83" t="str">
        <f>IFERROR(IFERROR(VLOOKUP(I1763,'DE-PARA'!B:D,3,0),VLOOKUP(I1763,'DE-PARA'!C:D,2,0)),"NÃO ENCONTRADO")</f>
        <v>Serviços</v>
      </c>
      <c r="L1763" s="50" t="str">
        <f>VLOOKUP(K1763,'Base -Receita-Despesa'!$B:$P,1,FALSE)</f>
        <v>Serviços</v>
      </c>
    </row>
    <row r="1764" spans="1:12" ht="15" customHeight="1" x14ac:dyDescent="0.3">
      <c r="A1764" s="82" t="str">
        <f t="shared" si="54"/>
        <v>2016</v>
      </c>
      <c r="B1764" s="72" t="s">
        <v>131</v>
      </c>
      <c r="C1764" s="73" t="s">
        <v>132</v>
      </c>
      <c r="D1764" s="74" t="str">
        <f t="shared" si="55"/>
        <v>jul/2016</v>
      </c>
      <c r="E1764" s="53">
        <v>42569</v>
      </c>
      <c r="F1764" s="75" t="s">
        <v>1316</v>
      </c>
      <c r="G1764" s="72"/>
      <c r="H1764" s="49" t="s">
        <v>655</v>
      </c>
      <c r="I1764" s="49" t="s">
        <v>167</v>
      </c>
      <c r="J1764" s="76">
        <v>-490</v>
      </c>
      <c r="K1764" s="83" t="str">
        <f>IFERROR(IFERROR(VLOOKUP(I1764,'DE-PARA'!B:D,3,0),VLOOKUP(I1764,'DE-PARA'!C:D,2,0)),"NÃO ENCONTRADO")</f>
        <v>Materiais</v>
      </c>
      <c r="L1764" s="50" t="str">
        <f>VLOOKUP(K1764,'Base -Receita-Despesa'!$B:$P,1,FALSE)</f>
        <v>Materiais</v>
      </c>
    </row>
    <row r="1765" spans="1:12" ht="15" customHeight="1" x14ac:dyDescent="0.3">
      <c r="A1765" s="82" t="str">
        <f t="shared" si="54"/>
        <v>2016</v>
      </c>
      <c r="B1765" s="72" t="s">
        <v>131</v>
      </c>
      <c r="C1765" s="73" t="s">
        <v>132</v>
      </c>
      <c r="D1765" s="74" t="str">
        <f t="shared" si="55"/>
        <v>jul/2016</v>
      </c>
      <c r="E1765" s="53">
        <v>42569</v>
      </c>
      <c r="F1765" s="75" t="s">
        <v>426</v>
      </c>
      <c r="G1765" s="72"/>
      <c r="H1765" s="49" t="s">
        <v>427</v>
      </c>
      <c r="I1765" s="49" t="s">
        <v>428</v>
      </c>
      <c r="J1765" s="76">
        <v>-880</v>
      </c>
      <c r="K1765" s="83" t="str">
        <f>IFERROR(IFERROR(VLOOKUP(I1765,'DE-PARA'!B:D,3,0),VLOOKUP(I1765,'DE-PARA'!C:D,2,0)),"NÃO ENCONTRADO")</f>
        <v>Aluguéis</v>
      </c>
      <c r="L1765" s="50" t="str">
        <f>VLOOKUP(K1765,'Base -Receita-Despesa'!$B:$P,1,FALSE)</f>
        <v>Aluguéis</v>
      </c>
    </row>
    <row r="1766" spans="1:12" ht="15" customHeight="1" x14ac:dyDescent="0.3">
      <c r="A1766" s="82" t="str">
        <f t="shared" si="54"/>
        <v>2016</v>
      </c>
      <c r="B1766" s="72" t="s">
        <v>131</v>
      </c>
      <c r="C1766" s="73" t="s">
        <v>132</v>
      </c>
      <c r="D1766" s="74" t="str">
        <f t="shared" si="55"/>
        <v>jul/2016</v>
      </c>
      <c r="E1766" s="53">
        <v>42569</v>
      </c>
      <c r="F1766" s="75" t="s">
        <v>199</v>
      </c>
      <c r="G1766" s="72"/>
      <c r="H1766" s="49" t="s">
        <v>1236</v>
      </c>
      <c r="I1766" s="49" t="s">
        <v>192</v>
      </c>
      <c r="J1766" s="76">
        <v>-59.5</v>
      </c>
      <c r="K1766" s="83" t="str">
        <f>IFERROR(IFERROR(VLOOKUP(I1766,'DE-PARA'!B:D,3,0),VLOOKUP(I1766,'DE-PARA'!C:D,2,0)),"NÃO ENCONTRADO")</f>
        <v>Materiais</v>
      </c>
      <c r="L1766" s="50" t="str">
        <f>VLOOKUP(K1766,'Base -Receita-Despesa'!$B:$P,1,FALSE)</f>
        <v>Materiais</v>
      </c>
    </row>
    <row r="1767" spans="1:12" ht="15" customHeight="1" x14ac:dyDescent="0.3">
      <c r="A1767" s="82" t="str">
        <f t="shared" si="54"/>
        <v>2016</v>
      </c>
      <c r="B1767" s="72" t="s">
        <v>131</v>
      </c>
      <c r="C1767" s="73" t="s">
        <v>132</v>
      </c>
      <c r="D1767" s="74" t="str">
        <f t="shared" si="55"/>
        <v>jul/2016</v>
      </c>
      <c r="E1767" s="53">
        <v>42569</v>
      </c>
      <c r="F1767" s="75" t="s">
        <v>1317</v>
      </c>
      <c r="G1767" s="72"/>
      <c r="H1767" s="49" t="s">
        <v>166</v>
      </c>
      <c r="I1767" s="49" t="s">
        <v>167</v>
      </c>
      <c r="J1767" s="76">
        <v>-893.25</v>
      </c>
      <c r="K1767" s="83" t="str">
        <f>IFERROR(IFERROR(VLOOKUP(I1767,'DE-PARA'!B:D,3,0),VLOOKUP(I1767,'DE-PARA'!C:D,2,0)),"NÃO ENCONTRADO")</f>
        <v>Materiais</v>
      </c>
      <c r="L1767" s="50" t="str">
        <f>VLOOKUP(K1767,'Base -Receita-Despesa'!$B:$P,1,FALSE)</f>
        <v>Materiais</v>
      </c>
    </row>
    <row r="1768" spans="1:12" ht="15" customHeight="1" x14ac:dyDescent="0.3">
      <c r="A1768" s="82" t="str">
        <f t="shared" si="54"/>
        <v>2016</v>
      </c>
      <c r="B1768" s="72" t="s">
        <v>131</v>
      </c>
      <c r="C1768" s="73" t="s">
        <v>132</v>
      </c>
      <c r="D1768" s="74" t="str">
        <f t="shared" si="55"/>
        <v>jul/2016</v>
      </c>
      <c r="E1768" s="53">
        <v>42569</v>
      </c>
      <c r="F1768" s="75" t="s">
        <v>1054</v>
      </c>
      <c r="G1768" s="72"/>
      <c r="H1768" s="49" t="s">
        <v>1055</v>
      </c>
      <c r="I1768" s="49" t="s">
        <v>1056</v>
      </c>
      <c r="J1768" s="76">
        <v>24879.75</v>
      </c>
      <c r="K1768" s="83" t="str">
        <f>IFERROR(IFERROR(VLOOKUP(I1768,'DE-PARA'!B:D,3,0),VLOOKUP(I1768,'DE-PARA'!C:D,2,0)),"NÃO ENCONTRADO")</f>
        <v>ENTRADA CONTA APLICAÇÃO (+)</v>
      </c>
      <c r="L1768" s="50" t="str">
        <f>VLOOKUP(K1768,'Base -Receita-Despesa'!$B:$P,1,FALSE)</f>
        <v>ENTRADA CONTA APLICAÇÃO (+)</v>
      </c>
    </row>
    <row r="1769" spans="1:12" ht="15" customHeight="1" x14ac:dyDescent="0.3">
      <c r="A1769" s="82" t="str">
        <f t="shared" si="54"/>
        <v>2016</v>
      </c>
      <c r="B1769" s="72" t="s">
        <v>131</v>
      </c>
      <c r="C1769" s="73" t="s">
        <v>132</v>
      </c>
      <c r="D1769" s="74" t="str">
        <f t="shared" si="55"/>
        <v>jul/2016</v>
      </c>
      <c r="E1769" s="53">
        <v>42569</v>
      </c>
      <c r="F1769" s="75" t="s">
        <v>1360</v>
      </c>
      <c r="G1769" s="72"/>
      <c r="H1769" s="49" t="s">
        <v>187</v>
      </c>
      <c r="I1769" s="49" t="s">
        <v>159</v>
      </c>
      <c r="J1769" s="76">
        <v>-365</v>
      </c>
      <c r="K1769" s="83" t="str">
        <f>IFERROR(IFERROR(VLOOKUP(I1769,'DE-PARA'!B:D,3,0),VLOOKUP(I1769,'DE-PARA'!C:D,2,0)),"NÃO ENCONTRADO")</f>
        <v>Materiais</v>
      </c>
      <c r="L1769" s="50" t="str">
        <f>VLOOKUP(K1769,'Base -Receita-Despesa'!$B:$P,1,FALSE)</f>
        <v>Materiais</v>
      </c>
    </row>
    <row r="1770" spans="1:12" ht="15" customHeight="1" x14ac:dyDescent="0.3">
      <c r="A1770" s="82" t="str">
        <f t="shared" si="54"/>
        <v>2016</v>
      </c>
      <c r="B1770" s="72" t="s">
        <v>249</v>
      </c>
      <c r="C1770" s="73" t="s">
        <v>132</v>
      </c>
      <c r="D1770" s="74" t="str">
        <f t="shared" si="55"/>
        <v>jul/2016</v>
      </c>
      <c r="E1770" s="53">
        <v>42571</v>
      </c>
      <c r="F1770" s="75" t="s">
        <v>154</v>
      </c>
      <c r="G1770" s="72"/>
      <c r="H1770" s="49" t="s">
        <v>154</v>
      </c>
      <c r="I1770" s="49" t="s">
        <v>1497</v>
      </c>
      <c r="J1770" s="76">
        <v>225731.01</v>
      </c>
      <c r="K1770" s="83" t="str">
        <f>IFERROR(IFERROR(VLOOKUP(I1770,'DE-PARA'!B:D,3,0),VLOOKUP(I1770,'DE-PARA'!C:D,2,0)),"NÃO ENCONTRADO")</f>
        <v>Repasses Contrato de Gestão</v>
      </c>
      <c r="L1770" s="50" t="str">
        <f>VLOOKUP(K1770,'Base -Receita-Despesa'!$B:$P,1,FALSE)</f>
        <v>Repasses Contrato de Gestão</v>
      </c>
    </row>
    <row r="1771" spans="1:12" ht="15" customHeight="1" x14ac:dyDescent="0.3">
      <c r="A1771" s="82" t="str">
        <f t="shared" si="54"/>
        <v>2016</v>
      </c>
      <c r="B1771" s="72" t="s">
        <v>249</v>
      </c>
      <c r="C1771" s="73" t="s">
        <v>132</v>
      </c>
      <c r="D1771" s="74" t="str">
        <f t="shared" si="55"/>
        <v>jul/2016</v>
      </c>
      <c r="E1771" s="53">
        <v>42571</v>
      </c>
      <c r="F1771" s="75" t="s">
        <v>154</v>
      </c>
      <c r="G1771" s="72"/>
      <c r="H1771" s="49" t="s">
        <v>154</v>
      </c>
      <c r="I1771" s="49" t="s">
        <v>1497</v>
      </c>
      <c r="J1771" s="76">
        <v>58031.9</v>
      </c>
      <c r="K1771" s="83" t="str">
        <f>IFERROR(IFERROR(VLOOKUP(I1771,'DE-PARA'!B:D,3,0),VLOOKUP(I1771,'DE-PARA'!C:D,2,0)),"NÃO ENCONTRADO")</f>
        <v>Repasses Contrato de Gestão</v>
      </c>
      <c r="L1771" s="50" t="str">
        <f>VLOOKUP(K1771,'Base -Receita-Despesa'!$B:$P,1,FALSE)</f>
        <v>Repasses Contrato de Gestão</v>
      </c>
    </row>
    <row r="1772" spans="1:12" ht="15" customHeight="1" x14ac:dyDescent="0.3">
      <c r="A1772" s="82" t="str">
        <f t="shared" si="54"/>
        <v>2016</v>
      </c>
      <c r="B1772" s="72" t="s">
        <v>249</v>
      </c>
      <c r="C1772" s="73" t="s">
        <v>132</v>
      </c>
      <c r="D1772" s="74" t="str">
        <f t="shared" si="55"/>
        <v>jul/2016</v>
      </c>
      <c r="E1772" s="53">
        <v>42571</v>
      </c>
      <c r="F1772" s="75" t="s">
        <v>1045</v>
      </c>
      <c r="G1772" s="72"/>
      <c r="H1772" s="49" t="s">
        <v>1243</v>
      </c>
      <c r="I1772" s="49" t="s">
        <v>121</v>
      </c>
      <c r="J1772" s="76">
        <v>-283762.90999999997</v>
      </c>
      <c r="K1772" s="83" t="s">
        <v>93</v>
      </c>
      <c r="L1772" s="50" t="str">
        <f>VLOOKUP(K1772,'Base -Receita-Despesa'!$B:$P,1,FALSE)</f>
        <v>Transferências da c/c para c/a ou c/p (-)</v>
      </c>
    </row>
    <row r="1773" spans="1:12" ht="15" customHeight="1" x14ac:dyDescent="0.3">
      <c r="A1773" s="82" t="str">
        <f t="shared" si="54"/>
        <v>2016</v>
      </c>
      <c r="B1773" s="72" t="s">
        <v>131</v>
      </c>
      <c r="C1773" s="73" t="s">
        <v>132</v>
      </c>
      <c r="D1773" s="74" t="str">
        <f t="shared" si="55"/>
        <v>jul/2016</v>
      </c>
      <c r="E1773" s="53">
        <v>42571</v>
      </c>
      <c r="F1773" s="75" t="s">
        <v>1319</v>
      </c>
      <c r="G1773" s="72"/>
      <c r="H1773" s="49" t="s">
        <v>1320</v>
      </c>
      <c r="I1773" s="49" t="s">
        <v>138</v>
      </c>
      <c r="J1773" s="76">
        <v>-550</v>
      </c>
      <c r="K1773" s="83" t="str">
        <f>IFERROR(IFERROR(VLOOKUP(I1773,'DE-PARA'!B:D,3,0),VLOOKUP(I1773,'DE-PARA'!C:D,2,0)),"NÃO ENCONTRADO")</f>
        <v>Serviços</v>
      </c>
      <c r="L1773" s="50" t="str">
        <f>VLOOKUP(K1773,'Base -Receita-Despesa'!$B:$P,1,FALSE)</f>
        <v>Serviços</v>
      </c>
    </row>
    <row r="1774" spans="1:12" ht="15" customHeight="1" x14ac:dyDescent="0.3">
      <c r="A1774" s="82" t="str">
        <f t="shared" si="54"/>
        <v>2016</v>
      </c>
      <c r="B1774" s="72" t="s">
        <v>131</v>
      </c>
      <c r="C1774" s="73" t="s">
        <v>132</v>
      </c>
      <c r="D1774" s="74" t="str">
        <f t="shared" si="55"/>
        <v>jul/2016</v>
      </c>
      <c r="E1774" s="53">
        <v>42571</v>
      </c>
      <c r="F1774" s="75" t="s">
        <v>1321</v>
      </c>
      <c r="G1774" s="72"/>
      <c r="H1774" s="49" t="s">
        <v>1320</v>
      </c>
      <c r="I1774" s="49" t="s">
        <v>138</v>
      </c>
      <c r="J1774" s="76">
        <v>-550</v>
      </c>
      <c r="K1774" s="83" t="str">
        <f>IFERROR(IFERROR(VLOOKUP(I1774,'DE-PARA'!B:D,3,0),VLOOKUP(I1774,'DE-PARA'!C:D,2,0)),"NÃO ENCONTRADO")</f>
        <v>Serviços</v>
      </c>
      <c r="L1774" s="50" t="str">
        <f>VLOOKUP(K1774,'Base -Receita-Despesa'!$B:$P,1,FALSE)</f>
        <v>Serviços</v>
      </c>
    </row>
    <row r="1775" spans="1:12" ht="15" customHeight="1" x14ac:dyDescent="0.3">
      <c r="A1775" s="82" t="str">
        <f t="shared" si="54"/>
        <v>2016</v>
      </c>
      <c r="B1775" s="72" t="s">
        <v>131</v>
      </c>
      <c r="C1775" s="73" t="s">
        <v>132</v>
      </c>
      <c r="D1775" s="74" t="str">
        <f t="shared" si="55"/>
        <v>jul/2016</v>
      </c>
      <c r="E1775" s="53">
        <v>42571</v>
      </c>
      <c r="F1775" s="75" t="s">
        <v>1322</v>
      </c>
      <c r="G1775" s="72"/>
      <c r="H1775" s="49" t="s">
        <v>328</v>
      </c>
      <c r="I1775" s="49" t="s">
        <v>159</v>
      </c>
      <c r="J1775" s="76">
        <v>-616.5</v>
      </c>
      <c r="K1775" s="83" t="str">
        <f>IFERROR(IFERROR(VLOOKUP(I1775,'DE-PARA'!B:D,3,0),VLOOKUP(I1775,'DE-PARA'!C:D,2,0)),"NÃO ENCONTRADO")</f>
        <v>Materiais</v>
      </c>
      <c r="L1775" s="50" t="str">
        <f>VLOOKUP(K1775,'Base -Receita-Despesa'!$B:$P,1,FALSE)</f>
        <v>Materiais</v>
      </c>
    </row>
    <row r="1776" spans="1:12" ht="15" customHeight="1" x14ac:dyDescent="0.3">
      <c r="A1776" s="82" t="str">
        <f t="shared" si="54"/>
        <v>2016</v>
      </c>
      <c r="B1776" s="72" t="s">
        <v>131</v>
      </c>
      <c r="C1776" s="73" t="s">
        <v>132</v>
      </c>
      <c r="D1776" s="74" t="str">
        <f t="shared" si="55"/>
        <v>jul/2016</v>
      </c>
      <c r="E1776" s="53">
        <v>42571</v>
      </c>
      <c r="F1776" s="75" t="s">
        <v>1323</v>
      </c>
      <c r="G1776" s="72"/>
      <c r="H1776" s="49" t="s">
        <v>1324</v>
      </c>
      <c r="I1776" s="49" t="s">
        <v>317</v>
      </c>
      <c r="J1776" s="76">
        <v>-1140</v>
      </c>
      <c r="K1776" s="83" t="str">
        <f>IFERROR(IFERROR(VLOOKUP(I1776,'DE-PARA'!B:D,3,0),VLOOKUP(I1776,'DE-PARA'!C:D,2,0)),"NÃO ENCONTRADO")</f>
        <v>Investimentos</v>
      </c>
      <c r="L1776" s="50" t="str">
        <f>VLOOKUP(K1776,'Base -Receita-Despesa'!$B:$P,1,FALSE)</f>
        <v>Investimentos</v>
      </c>
    </row>
    <row r="1777" spans="1:12" ht="15" customHeight="1" x14ac:dyDescent="0.3">
      <c r="A1777" s="82" t="str">
        <f t="shared" si="54"/>
        <v>2016</v>
      </c>
      <c r="B1777" s="72" t="s">
        <v>131</v>
      </c>
      <c r="C1777" s="73" t="s">
        <v>132</v>
      </c>
      <c r="D1777" s="74" t="str">
        <f t="shared" si="55"/>
        <v>jul/2016</v>
      </c>
      <c r="E1777" s="53">
        <v>42571</v>
      </c>
      <c r="F1777" s="75" t="s">
        <v>184</v>
      </c>
      <c r="G1777" s="72"/>
      <c r="H1777" s="49" t="s">
        <v>1325</v>
      </c>
      <c r="I1777" s="49" t="s">
        <v>114</v>
      </c>
      <c r="J1777" s="76">
        <v>-5387.8</v>
      </c>
      <c r="K1777" s="83" t="str">
        <f>IFERROR(IFERROR(VLOOKUP(I1777,'DE-PARA'!B:D,3,0),VLOOKUP(I1777,'DE-PARA'!C:D,2,0)),"NÃO ENCONTRADO")</f>
        <v>Serviços</v>
      </c>
      <c r="L1777" s="50" t="str">
        <f>VLOOKUP(K1777,'Base -Receita-Despesa'!$B:$P,1,FALSE)</f>
        <v>Serviços</v>
      </c>
    </row>
    <row r="1778" spans="1:12" ht="15" customHeight="1" x14ac:dyDescent="0.3">
      <c r="A1778" s="82" t="str">
        <f t="shared" si="54"/>
        <v>2016</v>
      </c>
      <c r="B1778" s="72" t="s">
        <v>131</v>
      </c>
      <c r="C1778" s="73" t="s">
        <v>132</v>
      </c>
      <c r="D1778" s="74" t="str">
        <f t="shared" si="55"/>
        <v>jul/2016</v>
      </c>
      <c r="E1778" s="53">
        <v>42571</v>
      </c>
      <c r="F1778" s="75" t="s">
        <v>184</v>
      </c>
      <c r="G1778" s="72"/>
      <c r="H1778" s="49" t="s">
        <v>1326</v>
      </c>
      <c r="I1778" s="49" t="s">
        <v>113</v>
      </c>
      <c r="J1778" s="76">
        <v>-12247.45</v>
      </c>
      <c r="K1778" s="83" t="str">
        <f>IFERROR(IFERROR(VLOOKUP(I1778,'DE-PARA'!B:D,3,0),VLOOKUP(I1778,'DE-PARA'!C:D,2,0)),"NÃO ENCONTRADO")</f>
        <v>Serviços</v>
      </c>
      <c r="L1778" s="50" t="str">
        <f>VLOOKUP(K1778,'Base -Receita-Despesa'!$B:$P,1,FALSE)</f>
        <v>Serviços</v>
      </c>
    </row>
    <row r="1779" spans="1:12" ht="15" customHeight="1" x14ac:dyDescent="0.3">
      <c r="A1779" s="82" t="str">
        <f t="shared" si="54"/>
        <v>2016</v>
      </c>
      <c r="B1779" s="72" t="s">
        <v>131</v>
      </c>
      <c r="C1779" s="73" t="s">
        <v>132</v>
      </c>
      <c r="D1779" s="74" t="str">
        <f t="shared" si="55"/>
        <v>jul/2016</v>
      </c>
      <c r="E1779" s="53">
        <v>42571</v>
      </c>
      <c r="F1779" s="75" t="s">
        <v>184</v>
      </c>
      <c r="G1779" s="72"/>
      <c r="H1779" s="49" t="s">
        <v>1327</v>
      </c>
      <c r="I1779" s="49" t="s">
        <v>173</v>
      </c>
      <c r="J1779" s="76">
        <v>-2501.6799999999998</v>
      </c>
      <c r="K1779" s="83" t="str">
        <f>IFERROR(IFERROR(VLOOKUP(I1779,'DE-PARA'!B:D,3,0),VLOOKUP(I1779,'DE-PARA'!C:D,2,0)),"NÃO ENCONTRADO")</f>
        <v>Serviços</v>
      </c>
      <c r="L1779" s="50" t="str">
        <f>VLOOKUP(K1779,'Base -Receita-Despesa'!$B:$P,1,FALSE)</f>
        <v>Serviços</v>
      </c>
    </row>
    <row r="1780" spans="1:12" ht="15" customHeight="1" x14ac:dyDescent="0.3">
      <c r="A1780" s="82" t="str">
        <f t="shared" si="54"/>
        <v>2016</v>
      </c>
      <c r="B1780" s="72" t="s">
        <v>131</v>
      </c>
      <c r="C1780" s="73" t="s">
        <v>132</v>
      </c>
      <c r="D1780" s="74" t="str">
        <f t="shared" si="55"/>
        <v>jul/2016</v>
      </c>
      <c r="E1780" s="53">
        <v>42571</v>
      </c>
      <c r="F1780" s="75" t="s">
        <v>184</v>
      </c>
      <c r="G1780" s="72"/>
      <c r="H1780" s="49" t="s">
        <v>1328</v>
      </c>
      <c r="I1780" s="49" t="s">
        <v>171</v>
      </c>
      <c r="J1780" s="76">
        <v>-174.62</v>
      </c>
      <c r="K1780" s="83" t="str">
        <f>IFERROR(IFERROR(VLOOKUP(I1780,'DE-PARA'!B:D,3,0),VLOOKUP(I1780,'DE-PARA'!C:D,2,0)),"NÃO ENCONTRADO")</f>
        <v>Serviços</v>
      </c>
      <c r="L1780" s="50" t="str">
        <f>VLOOKUP(K1780,'Base -Receita-Despesa'!$B:$P,1,FALSE)</f>
        <v>Serviços</v>
      </c>
    </row>
    <row r="1781" spans="1:12" ht="15" customHeight="1" x14ac:dyDescent="0.3">
      <c r="A1781" s="82" t="str">
        <f t="shared" si="54"/>
        <v>2016</v>
      </c>
      <c r="B1781" s="72" t="s">
        <v>131</v>
      </c>
      <c r="C1781" s="73" t="s">
        <v>132</v>
      </c>
      <c r="D1781" s="74" t="str">
        <f t="shared" si="55"/>
        <v>jul/2016</v>
      </c>
      <c r="E1781" s="53">
        <v>42571</v>
      </c>
      <c r="F1781" s="75" t="s">
        <v>184</v>
      </c>
      <c r="G1781" s="72"/>
      <c r="H1781" s="49" t="s">
        <v>1329</v>
      </c>
      <c r="I1781" s="49" t="s">
        <v>171</v>
      </c>
      <c r="J1781" s="76">
        <v>-434.15</v>
      </c>
      <c r="K1781" s="83" t="str">
        <f>IFERROR(IFERROR(VLOOKUP(I1781,'DE-PARA'!B:D,3,0),VLOOKUP(I1781,'DE-PARA'!C:D,2,0)),"NÃO ENCONTRADO")</f>
        <v>Serviços</v>
      </c>
      <c r="L1781" s="50" t="str">
        <f>VLOOKUP(K1781,'Base -Receita-Despesa'!$B:$P,1,FALSE)</f>
        <v>Serviços</v>
      </c>
    </row>
    <row r="1782" spans="1:12" ht="15" customHeight="1" x14ac:dyDescent="0.3">
      <c r="A1782" s="82" t="str">
        <f t="shared" si="54"/>
        <v>2016</v>
      </c>
      <c r="B1782" s="72" t="s">
        <v>131</v>
      </c>
      <c r="C1782" s="73" t="s">
        <v>132</v>
      </c>
      <c r="D1782" s="74" t="str">
        <f t="shared" si="55"/>
        <v>jul/2016</v>
      </c>
      <c r="E1782" s="53">
        <v>42571</v>
      </c>
      <c r="F1782" s="75" t="s">
        <v>184</v>
      </c>
      <c r="G1782" s="72"/>
      <c r="H1782" s="49" t="s">
        <v>1330</v>
      </c>
      <c r="I1782" s="49" t="s">
        <v>186</v>
      </c>
      <c r="J1782" s="76">
        <v>-143447.44</v>
      </c>
      <c r="K1782" s="83" t="str">
        <f>IFERROR(IFERROR(VLOOKUP(I1782,'DE-PARA'!B:D,3,0),VLOOKUP(I1782,'DE-PARA'!C:D,2,0)),"NÃO ENCONTRADO")</f>
        <v>Encargos sobre Folha de Pagamento</v>
      </c>
      <c r="L1782" s="50" t="str">
        <f>VLOOKUP(K1782,'Base -Receita-Despesa'!$B:$P,1,FALSE)</f>
        <v>Encargos sobre Folha de Pagamento</v>
      </c>
    </row>
    <row r="1783" spans="1:12" ht="15" customHeight="1" x14ac:dyDescent="0.3">
      <c r="A1783" s="82" t="str">
        <f t="shared" si="54"/>
        <v>2016</v>
      </c>
      <c r="B1783" s="72" t="s">
        <v>131</v>
      </c>
      <c r="C1783" s="73" t="s">
        <v>132</v>
      </c>
      <c r="D1783" s="74" t="str">
        <f t="shared" si="55"/>
        <v>jul/2016</v>
      </c>
      <c r="E1783" s="53">
        <v>42571</v>
      </c>
      <c r="F1783" s="75" t="s">
        <v>1049</v>
      </c>
      <c r="G1783" s="72"/>
      <c r="H1783" s="49" t="s">
        <v>1050</v>
      </c>
      <c r="I1783" s="49" t="s">
        <v>529</v>
      </c>
      <c r="J1783" s="76">
        <v>-125.5</v>
      </c>
      <c r="K1783" s="83" t="str">
        <f>IFERROR(IFERROR(VLOOKUP(I1783,'DE-PARA'!B:D,3,0),VLOOKUP(I1783,'DE-PARA'!C:D,2,0)),"NÃO ENCONTRADO")</f>
        <v>Tributos, Taxas e Contribuições</v>
      </c>
      <c r="L1783" s="50" t="str">
        <f>VLOOKUP(K1783,'Base -Receita-Despesa'!$B:$P,1,FALSE)</f>
        <v>Tributos, Taxas e Contribuições</v>
      </c>
    </row>
    <row r="1784" spans="1:12" ht="15" customHeight="1" x14ac:dyDescent="0.3">
      <c r="A1784" s="82" t="str">
        <f t="shared" si="54"/>
        <v>2016</v>
      </c>
      <c r="B1784" s="72" t="s">
        <v>131</v>
      </c>
      <c r="C1784" s="73" t="s">
        <v>132</v>
      </c>
      <c r="D1784" s="74" t="str">
        <f t="shared" si="55"/>
        <v>jul/2016</v>
      </c>
      <c r="E1784" s="53">
        <v>42571</v>
      </c>
      <c r="F1784" s="75" t="s">
        <v>949</v>
      </c>
      <c r="G1784" s="72"/>
      <c r="H1784" s="49" t="s">
        <v>1331</v>
      </c>
      <c r="I1784" s="49" t="s">
        <v>185</v>
      </c>
      <c r="J1784" s="76">
        <v>-1477.05</v>
      </c>
      <c r="K1784" s="83" t="str">
        <f>IFERROR(IFERROR(VLOOKUP(I1784,'DE-PARA'!B:D,3,0),VLOOKUP(I1784,'DE-PARA'!C:D,2,0)),"NÃO ENCONTRADO")</f>
        <v>Encargos sobre Folha de Pagamento</v>
      </c>
      <c r="L1784" s="50" t="str">
        <f>VLOOKUP(K1784,'Base -Receita-Despesa'!$B:$P,1,FALSE)</f>
        <v>Encargos sobre Folha de Pagamento</v>
      </c>
    </row>
    <row r="1785" spans="1:12" ht="15" customHeight="1" x14ac:dyDescent="0.3">
      <c r="A1785" s="82" t="str">
        <f t="shared" si="54"/>
        <v>2016</v>
      </c>
      <c r="B1785" s="72" t="s">
        <v>131</v>
      </c>
      <c r="C1785" s="73" t="s">
        <v>132</v>
      </c>
      <c r="D1785" s="74" t="str">
        <f t="shared" si="55"/>
        <v>jul/2016</v>
      </c>
      <c r="E1785" s="53">
        <v>42571</v>
      </c>
      <c r="F1785" s="75" t="s">
        <v>283</v>
      </c>
      <c r="G1785" s="72"/>
      <c r="H1785" s="49" t="s">
        <v>1332</v>
      </c>
      <c r="I1785" s="49" t="s">
        <v>114</v>
      </c>
      <c r="J1785" s="76">
        <v>-489.8</v>
      </c>
      <c r="K1785" s="83" t="str">
        <f>IFERROR(IFERROR(VLOOKUP(I1785,'DE-PARA'!B:D,3,0),VLOOKUP(I1785,'DE-PARA'!C:D,2,0)),"NÃO ENCONTRADO")</f>
        <v>Serviços</v>
      </c>
      <c r="L1785" s="50" t="str">
        <f>VLOOKUP(K1785,'Base -Receita-Despesa'!$B:$P,1,FALSE)</f>
        <v>Serviços</v>
      </c>
    </row>
    <row r="1786" spans="1:12" ht="15" customHeight="1" x14ac:dyDescent="0.3">
      <c r="A1786" s="82" t="str">
        <f t="shared" si="54"/>
        <v>2016</v>
      </c>
      <c r="B1786" s="72" t="s">
        <v>131</v>
      </c>
      <c r="C1786" s="73" t="s">
        <v>132</v>
      </c>
      <c r="D1786" s="74" t="str">
        <f t="shared" si="55"/>
        <v>jul/2016</v>
      </c>
      <c r="E1786" s="53">
        <v>42571</v>
      </c>
      <c r="F1786" s="75" t="s">
        <v>949</v>
      </c>
      <c r="G1786" s="72"/>
      <c r="H1786" s="49" t="s">
        <v>1333</v>
      </c>
      <c r="I1786" s="49" t="s">
        <v>113</v>
      </c>
      <c r="J1786" s="76">
        <v>-1113.4100000000001</v>
      </c>
      <c r="K1786" s="83" t="str">
        <f>IFERROR(IFERROR(VLOOKUP(I1786,'DE-PARA'!B:D,3,0),VLOOKUP(I1786,'DE-PARA'!C:D,2,0)),"NÃO ENCONTRADO")</f>
        <v>Serviços</v>
      </c>
      <c r="L1786" s="50" t="str">
        <f>VLOOKUP(K1786,'Base -Receita-Despesa'!$B:$P,1,FALSE)</f>
        <v>Serviços</v>
      </c>
    </row>
    <row r="1787" spans="1:12" ht="15" customHeight="1" x14ac:dyDescent="0.3">
      <c r="A1787" s="82" t="str">
        <f t="shared" si="54"/>
        <v>2016</v>
      </c>
      <c r="B1787" s="72" t="s">
        <v>131</v>
      </c>
      <c r="C1787" s="73" t="s">
        <v>132</v>
      </c>
      <c r="D1787" s="74" t="str">
        <f t="shared" si="55"/>
        <v>jul/2016</v>
      </c>
      <c r="E1787" s="53">
        <v>42571</v>
      </c>
      <c r="F1787" s="75" t="s">
        <v>949</v>
      </c>
      <c r="G1787" s="72"/>
      <c r="H1787" s="49" t="s">
        <v>1334</v>
      </c>
      <c r="I1787" s="49" t="s">
        <v>110</v>
      </c>
      <c r="J1787" s="76">
        <v>-41.4</v>
      </c>
      <c r="K1787" s="83" t="str">
        <f>IFERROR(IFERROR(VLOOKUP(I1787,'DE-PARA'!B:D,3,0),VLOOKUP(I1787,'DE-PARA'!C:D,2,0)),"NÃO ENCONTRADO")</f>
        <v>Serviços</v>
      </c>
      <c r="L1787" s="50" t="str">
        <f>VLOOKUP(K1787,'Base -Receita-Despesa'!$B:$P,1,FALSE)</f>
        <v>Serviços</v>
      </c>
    </row>
    <row r="1788" spans="1:12" ht="15" customHeight="1" x14ac:dyDescent="0.3">
      <c r="A1788" s="82" t="str">
        <f t="shared" si="54"/>
        <v>2016</v>
      </c>
      <c r="B1788" s="72" t="s">
        <v>131</v>
      </c>
      <c r="C1788" s="73" t="s">
        <v>132</v>
      </c>
      <c r="D1788" s="74" t="str">
        <f t="shared" si="55"/>
        <v>jul/2016</v>
      </c>
      <c r="E1788" s="53">
        <v>42571</v>
      </c>
      <c r="F1788" s="75" t="s">
        <v>949</v>
      </c>
      <c r="G1788" s="72"/>
      <c r="H1788" s="49" t="s">
        <v>1335</v>
      </c>
      <c r="I1788" s="49" t="s">
        <v>173</v>
      </c>
      <c r="J1788" s="76">
        <v>-227.42</v>
      </c>
      <c r="K1788" s="83" t="str">
        <f>IFERROR(IFERROR(VLOOKUP(I1788,'DE-PARA'!B:D,3,0),VLOOKUP(I1788,'DE-PARA'!C:D,2,0)),"NÃO ENCONTRADO")</f>
        <v>Serviços</v>
      </c>
      <c r="L1788" s="50" t="str">
        <f>VLOOKUP(K1788,'Base -Receita-Despesa'!$B:$P,1,FALSE)</f>
        <v>Serviços</v>
      </c>
    </row>
    <row r="1789" spans="1:12" ht="15" customHeight="1" x14ac:dyDescent="0.3">
      <c r="A1789" s="82" t="str">
        <f t="shared" si="54"/>
        <v>2016</v>
      </c>
      <c r="B1789" s="72" t="s">
        <v>131</v>
      </c>
      <c r="C1789" s="73" t="s">
        <v>132</v>
      </c>
      <c r="D1789" s="74" t="str">
        <f t="shared" si="55"/>
        <v>jul/2016</v>
      </c>
      <c r="E1789" s="53">
        <v>42571</v>
      </c>
      <c r="F1789" s="75" t="s">
        <v>949</v>
      </c>
      <c r="G1789" s="72"/>
      <c r="H1789" s="49" t="s">
        <v>1336</v>
      </c>
      <c r="I1789" s="49" t="s">
        <v>173</v>
      </c>
      <c r="J1789" s="76">
        <v>-141.86000000000001</v>
      </c>
      <c r="K1789" s="83" t="str">
        <f>IFERROR(IFERROR(VLOOKUP(I1789,'DE-PARA'!B:D,3,0),VLOOKUP(I1789,'DE-PARA'!C:D,2,0)),"NÃO ENCONTRADO")</f>
        <v>Serviços</v>
      </c>
      <c r="L1789" s="50" t="str">
        <f>VLOOKUP(K1789,'Base -Receita-Despesa'!$B:$P,1,FALSE)</f>
        <v>Serviços</v>
      </c>
    </row>
    <row r="1790" spans="1:12" ht="15" customHeight="1" x14ac:dyDescent="0.3">
      <c r="A1790" s="82" t="str">
        <f t="shared" si="54"/>
        <v>2016</v>
      </c>
      <c r="B1790" s="72" t="s">
        <v>131</v>
      </c>
      <c r="C1790" s="73" t="s">
        <v>132</v>
      </c>
      <c r="D1790" s="74" t="str">
        <f t="shared" si="55"/>
        <v>jul/2016</v>
      </c>
      <c r="E1790" s="53">
        <v>42571</v>
      </c>
      <c r="F1790" s="75" t="s">
        <v>283</v>
      </c>
      <c r="G1790" s="72"/>
      <c r="H1790" s="49" t="s">
        <v>1337</v>
      </c>
      <c r="I1790" s="49" t="s">
        <v>171</v>
      </c>
      <c r="J1790" s="76">
        <v>-158.75</v>
      </c>
      <c r="K1790" s="83" t="str">
        <f>IFERROR(IFERROR(VLOOKUP(I1790,'DE-PARA'!B:D,3,0),VLOOKUP(I1790,'DE-PARA'!C:D,2,0)),"NÃO ENCONTRADO")</f>
        <v>Serviços</v>
      </c>
      <c r="L1790" s="50" t="str">
        <f>VLOOKUP(K1790,'Base -Receita-Despesa'!$B:$P,1,FALSE)</f>
        <v>Serviços</v>
      </c>
    </row>
    <row r="1791" spans="1:12" ht="15" customHeight="1" x14ac:dyDescent="0.3">
      <c r="A1791" s="82" t="str">
        <f t="shared" si="54"/>
        <v>2016</v>
      </c>
      <c r="B1791" s="72" t="s">
        <v>131</v>
      </c>
      <c r="C1791" s="73" t="s">
        <v>132</v>
      </c>
      <c r="D1791" s="74" t="str">
        <f t="shared" si="55"/>
        <v>jul/2016</v>
      </c>
      <c r="E1791" s="53">
        <v>42571</v>
      </c>
      <c r="F1791" s="75" t="s">
        <v>283</v>
      </c>
      <c r="G1791" s="72"/>
      <c r="H1791" s="49" t="s">
        <v>1338</v>
      </c>
      <c r="I1791" s="49" t="s">
        <v>171</v>
      </c>
      <c r="J1791" s="76">
        <v>-394.68</v>
      </c>
      <c r="K1791" s="83" t="str">
        <f>IFERROR(IFERROR(VLOOKUP(I1791,'DE-PARA'!B:D,3,0),VLOOKUP(I1791,'DE-PARA'!C:D,2,0)),"NÃO ENCONTRADO")</f>
        <v>Serviços</v>
      </c>
      <c r="L1791" s="50" t="str">
        <f>VLOOKUP(K1791,'Base -Receita-Despesa'!$B:$P,1,FALSE)</f>
        <v>Serviços</v>
      </c>
    </row>
    <row r="1792" spans="1:12" ht="15" customHeight="1" x14ac:dyDescent="0.3">
      <c r="A1792" s="82" t="str">
        <f t="shared" si="54"/>
        <v>2016</v>
      </c>
      <c r="B1792" s="72" t="s">
        <v>131</v>
      </c>
      <c r="C1792" s="73" t="s">
        <v>132</v>
      </c>
      <c r="D1792" s="74" t="str">
        <f t="shared" si="55"/>
        <v>jul/2016</v>
      </c>
      <c r="E1792" s="53">
        <v>42571</v>
      </c>
      <c r="F1792" s="75" t="s">
        <v>949</v>
      </c>
      <c r="G1792" s="72"/>
      <c r="H1792" s="49" t="s">
        <v>1339</v>
      </c>
      <c r="I1792" s="49" t="s">
        <v>110</v>
      </c>
      <c r="J1792" s="76">
        <v>-15.66</v>
      </c>
      <c r="K1792" s="83" t="str">
        <f>IFERROR(IFERROR(VLOOKUP(I1792,'DE-PARA'!B:D,3,0),VLOOKUP(I1792,'DE-PARA'!C:D,2,0)),"NÃO ENCONTRADO")</f>
        <v>Serviços</v>
      </c>
      <c r="L1792" s="50" t="str">
        <f>VLOOKUP(K1792,'Base -Receita-Despesa'!$B:$P,1,FALSE)</f>
        <v>Serviços</v>
      </c>
    </row>
    <row r="1793" spans="1:12" ht="15" customHeight="1" x14ac:dyDescent="0.3">
      <c r="A1793" s="82" t="str">
        <f t="shared" si="54"/>
        <v>2016</v>
      </c>
      <c r="B1793" s="72" t="s">
        <v>131</v>
      </c>
      <c r="C1793" s="73" t="s">
        <v>132</v>
      </c>
      <c r="D1793" s="74" t="str">
        <f t="shared" si="55"/>
        <v>jul/2016</v>
      </c>
      <c r="E1793" s="53">
        <v>42571</v>
      </c>
      <c r="F1793" s="75" t="s">
        <v>949</v>
      </c>
      <c r="G1793" s="72"/>
      <c r="H1793" s="49" t="s">
        <v>1340</v>
      </c>
      <c r="I1793" s="49" t="s">
        <v>191</v>
      </c>
      <c r="J1793" s="76">
        <v>-51</v>
      </c>
      <c r="K1793" s="83" t="str">
        <f>IFERROR(IFERROR(VLOOKUP(I1793,'DE-PARA'!B:D,3,0),VLOOKUP(I1793,'DE-PARA'!C:D,2,0)),"NÃO ENCONTRADO")</f>
        <v>Serviços</v>
      </c>
      <c r="L1793" s="50" t="str">
        <f>VLOOKUP(K1793,'Base -Receita-Despesa'!$B:$P,1,FALSE)</f>
        <v>Serviços</v>
      </c>
    </row>
    <row r="1794" spans="1:12" ht="15" customHeight="1" x14ac:dyDescent="0.3">
      <c r="A1794" s="82" t="str">
        <f t="shared" si="54"/>
        <v>2016</v>
      </c>
      <c r="B1794" s="72" t="s">
        <v>131</v>
      </c>
      <c r="C1794" s="73" t="s">
        <v>132</v>
      </c>
      <c r="D1794" s="74" t="str">
        <f t="shared" si="55"/>
        <v>jul/2016</v>
      </c>
      <c r="E1794" s="53">
        <v>42571</v>
      </c>
      <c r="F1794" s="75" t="s">
        <v>949</v>
      </c>
      <c r="G1794" s="72"/>
      <c r="H1794" s="49" t="s">
        <v>1341</v>
      </c>
      <c r="I1794" s="49" t="s">
        <v>185</v>
      </c>
      <c r="J1794" s="76">
        <v>-44741.21</v>
      </c>
      <c r="K1794" s="83" t="str">
        <f>IFERROR(IFERROR(VLOOKUP(I1794,'DE-PARA'!B:D,3,0),VLOOKUP(I1794,'DE-PARA'!C:D,2,0)),"NÃO ENCONTRADO")</f>
        <v>Encargos sobre Folha de Pagamento</v>
      </c>
      <c r="L1794" s="50" t="str">
        <f>VLOOKUP(K1794,'Base -Receita-Despesa'!$B:$P,1,FALSE)</f>
        <v>Encargos sobre Folha de Pagamento</v>
      </c>
    </row>
    <row r="1795" spans="1:12" ht="15" customHeight="1" x14ac:dyDescent="0.3">
      <c r="A1795" s="82" t="str">
        <f t="shared" si="54"/>
        <v>2016</v>
      </c>
      <c r="B1795" s="72" t="s">
        <v>131</v>
      </c>
      <c r="C1795" s="73" t="s">
        <v>132</v>
      </c>
      <c r="D1795" s="74" t="str">
        <f t="shared" si="55"/>
        <v>jul/2016</v>
      </c>
      <c r="E1795" s="53">
        <v>42571</v>
      </c>
      <c r="F1795" s="75" t="s">
        <v>142</v>
      </c>
      <c r="G1795" s="72"/>
      <c r="H1795" s="49" t="s">
        <v>505</v>
      </c>
      <c r="I1795" s="49" t="s">
        <v>144</v>
      </c>
      <c r="J1795" s="76">
        <v>-1455.87</v>
      </c>
      <c r="K1795" s="83" t="str">
        <f>IFERROR(IFERROR(VLOOKUP(I1795,'DE-PARA'!B:D,3,0),VLOOKUP(I1795,'DE-PARA'!C:D,2,0)),"NÃO ENCONTRADO")</f>
        <v>Concessionárias (água, luz e telefone)</v>
      </c>
      <c r="L1795" s="50" t="str">
        <f>VLOOKUP(K1795,'Base -Receita-Despesa'!$B:$P,1,FALSE)</f>
        <v>Concessionárias (água, luz e telefone)</v>
      </c>
    </row>
    <row r="1796" spans="1:12" ht="15" customHeight="1" x14ac:dyDescent="0.3">
      <c r="A1796" s="82" t="str">
        <f t="shared" ref="A1796:A1859" si="56">IF(K1796="NÃO ENCONTRADO",0,RIGHT(D1796,4))</f>
        <v>2016</v>
      </c>
      <c r="B1796" s="72" t="s">
        <v>131</v>
      </c>
      <c r="C1796" s="73" t="s">
        <v>132</v>
      </c>
      <c r="D1796" s="74" t="str">
        <f t="shared" ref="D1796:D1859" si="57">TEXT(E1796,"mmm/aaaa")</f>
        <v>jul/2016</v>
      </c>
      <c r="E1796" s="53">
        <v>42571</v>
      </c>
      <c r="F1796" s="75" t="s">
        <v>142</v>
      </c>
      <c r="G1796" s="72"/>
      <c r="H1796" s="49" t="s">
        <v>505</v>
      </c>
      <c r="I1796" s="49" t="s">
        <v>144</v>
      </c>
      <c r="J1796" s="76">
        <v>-2485.6</v>
      </c>
      <c r="K1796" s="83" t="str">
        <f>IFERROR(IFERROR(VLOOKUP(I1796,'DE-PARA'!B:D,3,0),VLOOKUP(I1796,'DE-PARA'!C:D,2,0)),"NÃO ENCONTRADO")</f>
        <v>Concessionárias (água, luz e telefone)</v>
      </c>
      <c r="L1796" s="50" t="str">
        <f>VLOOKUP(K1796,'Base -Receita-Despesa'!$B:$P,1,FALSE)</f>
        <v>Concessionárias (água, luz e telefone)</v>
      </c>
    </row>
    <row r="1797" spans="1:12" ht="15" customHeight="1" x14ac:dyDescent="0.3">
      <c r="A1797" s="82" t="str">
        <f t="shared" si="56"/>
        <v>2016</v>
      </c>
      <c r="B1797" s="72" t="s">
        <v>131</v>
      </c>
      <c r="C1797" s="73" t="s">
        <v>132</v>
      </c>
      <c r="D1797" s="74" t="str">
        <f t="shared" si="57"/>
        <v>jul/2016</v>
      </c>
      <c r="E1797" s="53">
        <v>42571</v>
      </c>
      <c r="F1797" s="75" t="s">
        <v>1197</v>
      </c>
      <c r="G1797" s="72"/>
      <c r="H1797" s="49" t="s">
        <v>1342</v>
      </c>
      <c r="I1797" s="49" t="s">
        <v>114</v>
      </c>
      <c r="J1797" s="76">
        <v>-2277.5700000000002</v>
      </c>
      <c r="K1797" s="83" t="str">
        <f>IFERROR(IFERROR(VLOOKUP(I1797,'DE-PARA'!B:D,3,0),VLOOKUP(I1797,'DE-PARA'!C:D,2,0)),"NÃO ENCONTRADO")</f>
        <v>Serviços</v>
      </c>
      <c r="L1797" s="50" t="str">
        <f>VLOOKUP(K1797,'Base -Receita-Despesa'!$B:$P,1,FALSE)</f>
        <v>Serviços</v>
      </c>
    </row>
    <row r="1798" spans="1:12" ht="15" customHeight="1" x14ac:dyDescent="0.3">
      <c r="A1798" s="82" t="str">
        <f t="shared" si="56"/>
        <v>2016</v>
      </c>
      <c r="B1798" s="72" t="s">
        <v>131</v>
      </c>
      <c r="C1798" s="73" t="s">
        <v>132</v>
      </c>
      <c r="D1798" s="74" t="str">
        <f t="shared" si="57"/>
        <v>jul/2016</v>
      </c>
      <c r="E1798" s="53">
        <v>42571</v>
      </c>
      <c r="F1798" s="75" t="s">
        <v>958</v>
      </c>
      <c r="G1798" s="72"/>
      <c r="H1798" s="49" t="s">
        <v>1343</v>
      </c>
      <c r="I1798" s="49" t="s">
        <v>138</v>
      </c>
      <c r="J1798" s="76">
        <v>-233.57</v>
      </c>
      <c r="K1798" s="83" t="str">
        <f>IFERROR(IFERROR(VLOOKUP(I1798,'DE-PARA'!B:D,3,0),VLOOKUP(I1798,'DE-PARA'!C:D,2,0)),"NÃO ENCONTRADO")</f>
        <v>Serviços</v>
      </c>
      <c r="L1798" s="50" t="str">
        <f>VLOOKUP(K1798,'Base -Receita-Despesa'!$B:$P,1,FALSE)</f>
        <v>Serviços</v>
      </c>
    </row>
    <row r="1799" spans="1:12" ht="15" customHeight="1" x14ac:dyDescent="0.3">
      <c r="A1799" s="82" t="str">
        <f t="shared" si="56"/>
        <v>2016</v>
      </c>
      <c r="B1799" s="72" t="s">
        <v>131</v>
      </c>
      <c r="C1799" s="73" t="s">
        <v>132</v>
      </c>
      <c r="D1799" s="74" t="str">
        <f t="shared" si="57"/>
        <v>jul/2016</v>
      </c>
      <c r="E1799" s="53">
        <v>42571</v>
      </c>
      <c r="F1799" s="75" t="s">
        <v>958</v>
      </c>
      <c r="G1799" s="72"/>
      <c r="H1799" s="49" t="s">
        <v>1344</v>
      </c>
      <c r="I1799" s="49" t="s">
        <v>113</v>
      </c>
      <c r="J1799" s="76">
        <v>-550.59</v>
      </c>
      <c r="K1799" s="83" t="str">
        <f>IFERROR(IFERROR(VLOOKUP(I1799,'DE-PARA'!B:D,3,0),VLOOKUP(I1799,'DE-PARA'!C:D,2,0)),"NÃO ENCONTRADO")</f>
        <v>Serviços</v>
      </c>
      <c r="L1799" s="50" t="str">
        <f>VLOOKUP(K1799,'Base -Receita-Despesa'!$B:$P,1,FALSE)</f>
        <v>Serviços</v>
      </c>
    </row>
    <row r="1800" spans="1:12" ht="15" customHeight="1" x14ac:dyDescent="0.3">
      <c r="A1800" s="82" t="str">
        <f t="shared" si="56"/>
        <v>2016</v>
      </c>
      <c r="B1800" s="72" t="s">
        <v>131</v>
      </c>
      <c r="C1800" s="73" t="s">
        <v>132</v>
      </c>
      <c r="D1800" s="74" t="str">
        <f t="shared" si="57"/>
        <v>jul/2016</v>
      </c>
      <c r="E1800" s="53">
        <v>42571</v>
      </c>
      <c r="F1800" s="75" t="s">
        <v>958</v>
      </c>
      <c r="G1800" s="72"/>
      <c r="H1800" s="49" t="s">
        <v>1345</v>
      </c>
      <c r="I1800" s="49" t="s">
        <v>113</v>
      </c>
      <c r="J1800" s="76">
        <v>-5177.32</v>
      </c>
      <c r="K1800" s="83" t="str">
        <f>IFERROR(IFERROR(VLOOKUP(I1800,'DE-PARA'!B:D,3,0),VLOOKUP(I1800,'DE-PARA'!C:D,2,0)),"NÃO ENCONTRADO")</f>
        <v>Serviços</v>
      </c>
      <c r="L1800" s="50" t="str">
        <f>VLOOKUP(K1800,'Base -Receita-Despesa'!$B:$P,1,FALSE)</f>
        <v>Serviços</v>
      </c>
    </row>
    <row r="1801" spans="1:12" ht="15" customHeight="1" x14ac:dyDescent="0.3">
      <c r="A1801" s="82" t="str">
        <f t="shared" si="56"/>
        <v>2016</v>
      </c>
      <c r="B1801" s="72" t="s">
        <v>131</v>
      </c>
      <c r="C1801" s="73" t="s">
        <v>132</v>
      </c>
      <c r="D1801" s="74" t="str">
        <f t="shared" si="57"/>
        <v>jul/2016</v>
      </c>
      <c r="E1801" s="53">
        <v>42571</v>
      </c>
      <c r="F1801" s="75" t="s">
        <v>958</v>
      </c>
      <c r="G1801" s="72"/>
      <c r="H1801" s="49" t="s">
        <v>1346</v>
      </c>
      <c r="I1801" s="49" t="s">
        <v>110</v>
      </c>
      <c r="J1801" s="76">
        <v>-133.91999999999999</v>
      </c>
      <c r="K1801" s="83" t="str">
        <f>IFERROR(IFERROR(VLOOKUP(I1801,'DE-PARA'!B:D,3,0),VLOOKUP(I1801,'DE-PARA'!C:D,2,0)),"NÃO ENCONTRADO")</f>
        <v>Serviços</v>
      </c>
      <c r="L1801" s="50" t="str">
        <f>VLOOKUP(K1801,'Base -Receita-Despesa'!$B:$P,1,FALSE)</f>
        <v>Serviços</v>
      </c>
    </row>
    <row r="1802" spans="1:12" ht="15" customHeight="1" x14ac:dyDescent="0.3">
      <c r="A1802" s="82" t="str">
        <f t="shared" si="56"/>
        <v>2016</v>
      </c>
      <c r="B1802" s="72" t="s">
        <v>131</v>
      </c>
      <c r="C1802" s="73" t="s">
        <v>132</v>
      </c>
      <c r="D1802" s="74" t="str">
        <f t="shared" si="57"/>
        <v>jul/2016</v>
      </c>
      <c r="E1802" s="53">
        <v>42571</v>
      </c>
      <c r="F1802" s="75" t="s">
        <v>958</v>
      </c>
      <c r="G1802" s="72"/>
      <c r="H1802" s="49" t="s">
        <v>1347</v>
      </c>
      <c r="I1802" s="49" t="s">
        <v>138</v>
      </c>
      <c r="J1802" s="76">
        <v>-21.25</v>
      </c>
      <c r="K1802" s="83" t="str">
        <f>IFERROR(IFERROR(VLOOKUP(I1802,'DE-PARA'!B:D,3,0),VLOOKUP(I1802,'DE-PARA'!C:D,2,0)),"NÃO ENCONTRADO")</f>
        <v>Serviços</v>
      </c>
      <c r="L1802" s="50" t="str">
        <f>VLOOKUP(K1802,'Base -Receita-Despesa'!$B:$P,1,FALSE)</f>
        <v>Serviços</v>
      </c>
    </row>
    <row r="1803" spans="1:12" ht="15" customHeight="1" x14ac:dyDescent="0.3">
      <c r="A1803" s="82" t="str">
        <f t="shared" si="56"/>
        <v>2016</v>
      </c>
      <c r="B1803" s="72" t="s">
        <v>131</v>
      </c>
      <c r="C1803" s="73" t="s">
        <v>132</v>
      </c>
      <c r="D1803" s="74" t="str">
        <f t="shared" si="57"/>
        <v>jul/2016</v>
      </c>
      <c r="E1803" s="53">
        <v>42571</v>
      </c>
      <c r="F1803" s="75" t="s">
        <v>958</v>
      </c>
      <c r="G1803" s="72"/>
      <c r="H1803" s="49" t="s">
        <v>1348</v>
      </c>
      <c r="I1803" s="49" t="s">
        <v>173</v>
      </c>
      <c r="J1803" s="76">
        <v>-659.64</v>
      </c>
      <c r="K1803" s="83" t="str">
        <f>IFERROR(IFERROR(VLOOKUP(I1803,'DE-PARA'!B:D,3,0),VLOOKUP(I1803,'DE-PARA'!C:D,2,0)),"NÃO ENCONTRADO")</f>
        <v>Serviços</v>
      </c>
      <c r="L1803" s="50" t="str">
        <f>VLOOKUP(K1803,'Base -Receita-Despesa'!$B:$P,1,FALSE)</f>
        <v>Serviços</v>
      </c>
    </row>
    <row r="1804" spans="1:12" ht="15" customHeight="1" x14ac:dyDescent="0.3">
      <c r="A1804" s="82" t="str">
        <f t="shared" si="56"/>
        <v>2016</v>
      </c>
      <c r="B1804" s="72" t="s">
        <v>131</v>
      </c>
      <c r="C1804" s="73" t="s">
        <v>132</v>
      </c>
      <c r="D1804" s="74" t="str">
        <f t="shared" si="57"/>
        <v>jul/2016</v>
      </c>
      <c r="E1804" s="53">
        <v>42571</v>
      </c>
      <c r="F1804" s="75" t="s">
        <v>958</v>
      </c>
      <c r="G1804" s="72"/>
      <c r="H1804" s="49" t="s">
        <v>1349</v>
      </c>
      <c r="I1804" s="49" t="s">
        <v>173</v>
      </c>
      <c r="J1804" s="76">
        <v>-897.45</v>
      </c>
      <c r="K1804" s="83" t="str">
        <f>IFERROR(IFERROR(VLOOKUP(I1804,'DE-PARA'!B:D,3,0),VLOOKUP(I1804,'DE-PARA'!C:D,2,0)),"NÃO ENCONTRADO")</f>
        <v>Serviços</v>
      </c>
      <c r="L1804" s="50" t="str">
        <f>VLOOKUP(K1804,'Base -Receita-Despesa'!$B:$P,1,FALSE)</f>
        <v>Serviços</v>
      </c>
    </row>
    <row r="1805" spans="1:12" ht="15" customHeight="1" x14ac:dyDescent="0.3">
      <c r="A1805" s="82" t="str">
        <f t="shared" si="56"/>
        <v>2016</v>
      </c>
      <c r="B1805" s="72" t="s">
        <v>131</v>
      </c>
      <c r="C1805" s="73" t="s">
        <v>132</v>
      </c>
      <c r="D1805" s="74" t="str">
        <f t="shared" si="57"/>
        <v>jul/2016</v>
      </c>
      <c r="E1805" s="53">
        <v>42571</v>
      </c>
      <c r="F1805" s="75" t="s">
        <v>958</v>
      </c>
      <c r="G1805" s="72"/>
      <c r="H1805" s="49" t="s">
        <v>1350</v>
      </c>
      <c r="I1805" s="49" t="s">
        <v>171</v>
      </c>
      <c r="J1805" s="76">
        <v>-1223.51</v>
      </c>
      <c r="K1805" s="83" t="str">
        <f>IFERROR(IFERROR(VLOOKUP(I1805,'DE-PARA'!B:D,3,0),VLOOKUP(I1805,'DE-PARA'!C:D,2,0)),"NÃO ENCONTRADO")</f>
        <v>Serviços</v>
      </c>
      <c r="L1805" s="50" t="str">
        <f>VLOOKUP(K1805,'Base -Receita-Despesa'!$B:$P,1,FALSE)</f>
        <v>Serviços</v>
      </c>
    </row>
    <row r="1806" spans="1:12" ht="15" customHeight="1" x14ac:dyDescent="0.3">
      <c r="A1806" s="82" t="str">
        <f t="shared" si="56"/>
        <v>2016</v>
      </c>
      <c r="B1806" s="72" t="s">
        <v>131</v>
      </c>
      <c r="C1806" s="73" t="s">
        <v>132</v>
      </c>
      <c r="D1806" s="74" t="str">
        <f t="shared" si="57"/>
        <v>jul/2016</v>
      </c>
      <c r="E1806" s="53">
        <v>42571</v>
      </c>
      <c r="F1806" s="75" t="s">
        <v>958</v>
      </c>
      <c r="G1806" s="72"/>
      <c r="H1806" s="49" t="s">
        <v>1351</v>
      </c>
      <c r="I1806" s="49" t="s">
        <v>171</v>
      </c>
      <c r="J1806" s="76">
        <v>-492.12</v>
      </c>
      <c r="K1806" s="83" t="str">
        <f>IFERROR(IFERROR(VLOOKUP(I1806,'DE-PARA'!B:D,3,0),VLOOKUP(I1806,'DE-PARA'!C:D,2,0)),"NÃO ENCONTRADO")</f>
        <v>Serviços</v>
      </c>
      <c r="L1806" s="50" t="str">
        <f>VLOOKUP(K1806,'Base -Receita-Despesa'!$B:$P,1,FALSE)</f>
        <v>Serviços</v>
      </c>
    </row>
    <row r="1807" spans="1:12" ht="15" customHeight="1" x14ac:dyDescent="0.3">
      <c r="A1807" s="82" t="str">
        <f t="shared" si="56"/>
        <v>2016</v>
      </c>
      <c r="B1807" s="72" t="s">
        <v>131</v>
      </c>
      <c r="C1807" s="73" t="s">
        <v>132</v>
      </c>
      <c r="D1807" s="74" t="str">
        <f t="shared" si="57"/>
        <v>jul/2016</v>
      </c>
      <c r="E1807" s="53">
        <v>42571</v>
      </c>
      <c r="F1807" s="75" t="s">
        <v>958</v>
      </c>
      <c r="G1807" s="72"/>
      <c r="H1807" s="49" t="s">
        <v>1352</v>
      </c>
      <c r="I1807" s="49" t="s">
        <v>110</v>
      </c>
      <c r="J1807" s="76">
        <v>-39.53</v>
      </c>
      <c r="K1807" s="83" t="str">
        <f>IFERROR(IFERROR(VLOOKUP(I1807,'DE-PARA'!B:D,3,0),VLOOKUP(I1807,'DE-PARA'!C:D,2,0)),"NÃO ENCONTRADO")</f>
        <v>Serviços</v>
      </c>
      <c r="L1807" s="50" t="str">
        <f>VLOOKUP(K1807,'Base -Receita-Despesa'!$B:$P,1,FALSE)</f>
        <v>Serviços</v>
      </c>
    </row>
    <row r="1808" spans="1:12" ht="15" customHeight="1" x14ac:dyDescent="0.3">
      <c r="A1808" s="82" t="str">
        <f t="shared" si="56"/>
        <v>2016</v>
      </c>
      <c r="B1808" s="72" t="s">
        <v>131</v>
      </c>
      <c r="C1808" s="73" t="s">
        <v>132</v>
      </c>
      <c r="D1808" s="74" t="str">
        <f t="shared" si="57"/>
        <v>jul/2016</v>
      </c>
      <c r="E1808" s="53">
        <v>42571</v>
      </c>
      <c r="F1808" s="75" t="s">
        <v>958</v>
      </c>
      <c r="G1808" s="72"/>
      <c r="H1808" s="49" t="s">
        <v>1353</v>
      </c>
      <c r="I1808" s="49" t="s">
        <v>110</v>
      </c>
      <c r="J1808" s="76">
        <v>-33.28</v>
      </c>
      <c r="K1808" s="83" t="str">
        <f>IFERROR(IFERROR(VLOOKUP(I1808,'DE-PARA'!B:D,3,0),VLOOKUP(I1808,'DE-PARA'!C:D,2,0)),"NÃO ENCONTRADO")</f>
        <v>Serviços</v>
      </c>
      <c r="L1808" s="50" t="str">
        <f>VLOOKUP(K1808,'Base -Receita-Despesa'!$B:$P,1,FALSE)</f>
        <v>Serviços</v>
      </c>
    </row>
    <row r="1809" spans="1:12" ht="15" customHeight="1" x14ac:dyDescent="0.3">
      <c r="A1809" s="82" t="str">
        <f t="shared" si="56"/>
        <v>2016</v>
      </c>
      <c r="B1809" s="72" t="s">
        <v>131</v>
      </c>
      <c r="C1809" s="73" t="s">
        <v>132</v>
      </c>
      <c r="D1809" s="74" t="str">
        <f t="shared" si="57"/>
        <v>jul/2016</v>
      </c>
      <c r="E1809" s="53">
        <v>42571</v>
      </c>
      <c r="F1809" s="75" t="s">
        <v>1197</v>
      </c>
      <c r="G1809" s="72"/>
      <c r="H1809" s="49" t="s">
        <v>1354</v>
      </c>
      <c r="I1809" s="49" t="s">
        <v>191</v>
      </c>
      <c r="J1809" s="76">
        <v>-158.1</v>
      </c>
      <c r="K1809" s="83" t="str">
        <f>IFERROR(IFERROR(VLOOKUP(I1809,'DE-PARA'!B:D,3,0),VLOOKUP(I1809,'DE-PARA'!C:D,2,0)),"NÃO ENCONTRADO")</f>
        <v>Serviços</v>
      </c>
      <c r="L1809" s="50" t="str">
        <f>VLOOKUP(K1809,'Base -Receita-Despesa'!$B:$P,1,FALSE)</f>
        <v>Serviços</v>
      </c>
    </row>
    <row r="1810" spans="1:12" ht="15" customHeight="1" x14ac:dyDescent="0.3">
      <c r="A1810" s="82" t="str">
        <f t="shared" si="56"/>
        <v>2016</v>
      </c>
      <c r="B1810" s="72" t="s">
        <v>131</v>
      </c>
      <c r="C1810" s="73" t="s">
        <v>132</v>
      </c>
      <c r="D1810" s="74" t="str">
        <f t="shared" si="57"/>
        <v>jul/2016</v>
      </c>
      <c r="E1810" s="53">
        <v>42571</v>
      </c>
      <c r="F1810" s="75" t="s">
        <v>293</v>
      </c>
      <c r="G1810" s="72"/>
      <c r="H1810" s="49" t="s">
        <v>1355</v>
      </c>
      <c r="I1810" s="49" t="s">
        <v>185</v>
      </c>
      <c r="J1810" s="76">
        <v>-4227.3500000000004</v>
      </c>
      <c r="K1810" s="83" t="str">
        <f>IFERROR(IFERROR(VLOOKUP(I1810,'DE-PARA'!B:D,3,0),VLOOKUP(I1810,'DE-PARA'!C:D,2,0)),"NÃO ENCONTRADO")</f>
        <v>Encargos sobre Folha de Pagamento</v>
      </c>
      <c r="L1810" s="50" t="str">
        <f>VLOOKUP(K1810,'Base -Receita-Despesa'!$B:$P,1,FALSE)</f>
        <v>Encargos sobre Folha de Pagamento</v>
      </c>
    </row>
    <row r="1811" spans="1:12" ht="15" customHeight="1" x14ac:dyDescent="0.3">
      <c r="A1811" s="82" t="str">
        <f t="shared" si="56"/>
        <v>2016</v>
      </c>
      <c r="B1811" s="72" t="s">
        <v>131</v>
      </c>
      <c r="C1811" s="73" t="s">
        <v>132</v>
      </c>
      <c r="D1811" s="74" t="str">
        <f t="shared" si="57"/>
        <v>jul/2016</v>
      </c>
      <c r="E1811" s="53">
        <v>42571</v>
      </c>
      <c r="F1811" s="75" t="s">
        <v>1356</v>
      </c>
      <c r="G1811" s="72"/>
      <c r="H1811" s="49" t="s">
        <v>1357</v>
      </c>
      <c r="I1811" s="49" t="s">
        <v>317</v>
      </c>
      <c r="J1811" s="76">
        <v>-3517</v>
      </c>
      <c r="K1811" s="83" t="str">
        <f>IFERROR(IFERROR(VLOOKUP(I1811,'DE-PARA'!B:D,3,0),VLOOKUP(I1811,'DE-PARA'!C:D,2,0)),"NÃO ENCONTRADO")</f>
        <v>Investimentos</v>
      </c>
      <c r="L1811" s="50" t="str">
        <f>VLOOKUP(K1811,'Base -Receita-Despesa'!$B:$P,1,FALSE)</f>
        <v>Investimentos</v>
      </c>
    </row>
    <row r="1812" spans="1:12" ht="15" customHeight="1" x14ac:dyDescent="0.3">
      <c r="A1812" s="82" t="str">
        <f t="shared" si="56"/>
        <v>2016</v>
      </c>
      <c r="B1812" s="72" t="s">
        <v>131</v>
      </c>
      <c r="C1812" s="73" t="s">
        <v>132</v>
      </c>
      <c r="D1812" s="74" t="str">
        <f t="shared" si="57"/>
        <v>jul/2016</v>
      </c>
      <c r="E1812" s="53">
        <v>42571</v>
      </c>
      <c r="F1812" s="75" t="s">
        <v>243</v>
      </c>
      <c r="G1812" s="72"/>
      <c r="H1812" s="49" t="s">
        <v>401</v>
      </c>
      <c r="I1812" s="49" t="s">
        <v>124</v>
      </c>
      <c r="J1812" s="76">
        <v>-42030.97</v>
      </c>
      <c r="K1812" s="83" t="str">
        <f>IFERROR(IFERROR(VLOOKUP(I1812,'DE-PARA'!B:D,3,0),VLOOKUP(I1812,'DE-PARA'!C:D,2,0)),"NÃO ENCONTRADO")</f>
        <v>Rescisões Trabalhistas</v>
      </c>
      <c r="L1812" s="50" t="str">
        <f>VLOOKUP(K1812,'Base -Receita-Despesa'!$B:$P,1,FALSE)</f>
        <v>Rescisões Trabalhistas</v>
      </c>
    </row>
    <row r="1813" spans="1:12" ht="15" customHeight="1" x14ac:dyDescent="0.3">
      <c r="A1813" s="82" t="str">
        <f t="shared" si="56"/>
        <v>2016</v>
      </c>
      <c r="B1813" s="72" t="s">
        <v>131</v>
      </c>
      <c r="C1813" s="73" t="s">
        <v>132</v>
      </c>
      <c r="D1813" s="74" t="str">
        <f t="shared" si="57"/>
        <v>jul/2016</v>
      </c>
      <c r="E1813" s="53">
        <v>42571</v>
      </c>
      <c r="F1813" s="75" t="s">
        <v>122</v>
      </c>
      <c r="G1813" s="72"/>
      <c r="H1813" s="49" t="s">
        <v>401</v>
      </c>
      <c r="I1813" s="49" t="s">
        <v>124</v>
      </c>
      <c r="J1813" s="76">
        <v>-15511.1</v>
      </c>
      <c r="K1813" s="83" t="str">
        <f>IFERROR(IFERROR(VLOOKUP(I1813,'DE-PARA'!B:D,3,0),VLOOKUP(I1813,'DE-PARA'!C:D,2,0)),"NÃO ENCONTRADO")</f>
        <v>Rescisões Trabalhistas</v>
      </c>
      <c r="L1813" s="50" t="str">
        <f>VLOOKUP(K1813,'Base -Receita-Despesa'!$B:$P,1,FALSE)</f>
        <v>Rescisões Trabalhistas</v>
      </c>
    </row>
    <row r="1814" spans="1:12" ht="15" customHeight="1" x14ac:dyDescent="0.3">
      <c r="A1814" s="82" t="str">
        <f t="shared" si="56"/>
        <v>2016</v>
      </c>
      <c r="B1814" s="72" t="s">
        <v>131</v>
      </c>
      <c r="C1814" s="73" t="s">
        <v>132</v>
      </c>
      <c r="D1814" s="74" t="str">
        <f t="shared" si="57"/>
        <v>jul/2016</v>
      </c>
      <c r="E1814" s="53">
        <v>42571</v>
      </c>
      <c r="F1814" s="75" t="s">
        <v>1054</v>
      </c>
      <c r="G1814" s="72"/>
      <c r="H1814" s="49" t="s">
        <v>1055</v>
      </c>
      <c r="I1814" s="49" t="s">
        <v>1056</v>
      </c>
      <c r="J1814" s="76">
        <v>47994.57</v>
      </c>
      <c r="K1814" s="83" t="str">
        <f>IFERROR(IFERROR(VLOOKUP(I1814,'DE-PARA'!B:D,3,0),VLOOKUP(I1814,'DE-PARA'!C:D,2,0)),"NÃO ENCONTRADO")</f>
        <v>ENTRADA CONTA APLICAÇÃO (+)</v>
      </c>
      <c r="L1814" s="50" t="str">
        <f>VLOOKUP(K1814,'Base -Receita-Despesa'!$B:$P,1,FALSE)</f>
        <v>ENTRADA CONTA APLICAÇÃO (+)</v>
      </c>
    </row>
    <row r="1815" spans="1:12" ht="15" customHeight="1" x14ac:dyDescent="0.3">
      <c r="A1815" s="82" t="str">
        <f t="shared" si="56"/>
        <v>2016</v>
      </c>
      <c r="B1815" s="72" t="s">
        <v>131</v>
      </c>
      <c r="C1815" s="73" t="s">
        <v>132</v>
      </c>
      <c r="D1815" s="74" t="str">
        <f t="shared" si="57"/>
        <v>jul/2016</v>
      </c>
      <c r="E1815" s="53">
        <v>42571</v>
      </c>
      <c r="F1815" s="75" t="s">
        <v>1358</v>
      </c>
      <c r="G1815" s="72"/>
      <c r="H1815" s="49" t="s">
        <v>145</v>
      </c>
      <c r="I1815" s="49" t="s">
        <v>144</v>
      </c>
      <c r="J1815" s="76">
        <v>-1699</v>
      </c>
      <c r="K1815" s="83" t="str">
        <f>IFERROR(IFERROR(VLOOKUP(I1815,'DE-PARA'!B:D,3,0),VLOOKUP(I1815,'DE-PARA'!C:D,2,0)),"NÃO ENCONTRADO")</f>
        <v>Concessionárias (água, luz e telefone)</v>
      </c>
      <c r="L1815" s="50" t="str">
        <f>VLOOKUP(K1815,'Base -Receita-Despesa'!$B:$P,1,FALSE)</f>
        <v>Concessionárias (água, luz e telefone)</v>
      </c>
    </row>
    <row r="1816" spans="1:12" ht="15" customHeight="1" x14ac:dyDescent="0.3">
      <c r="A1816" s="82" t="str">
        <f t="shared" si="56"/>
        <v>2016</v>
      </c>
      <c r="B1816" s="72" t="s">
        <v>131</v>
      </c>
      <c r="C1816" s="73" t="s">
        <v>132</v>
      </c>
      <c r="D1816" s="74" t="str">
        <f t="shared" si="57"/>
        <v>jul/2016</v>
      </c>
      <c r="E1816" s="53">
        <v>42571</v>
      </c>
      <c r="F1816" s="75" t="s">
        <v>1134</v>
      </c>
      <c r="G1816" s="72"/>
      <c r="H1816" s="49" t="s">
        <v>170</v>
      </c>
      <c r="I1816" s="49" t="s">
        <v>171</v>
      </c>
      <c r="J1816" s="76">
        <v>-23467.66</v>
      </c>
      <c r="K1816" s="83" t="str">
        <f>IFERROR(IFERROR(VLOOKUP(I1816,'DE-PARA'!B:D,3,0),VLOOKUP(I1816,'DE-PARA'!C:D,2,0)),"NÃO ENCONTRADO")</f>
        <v>Serviços</v>
      </c>
      <c r="L1816" s="50" t="str">
        <f>VLOOKUP(K1816,'Base -Receita-Despesa'!$B:$P,1,FALSE)</f>
        <v>Serviços</v>
      </c>
    </row>
    <row r="1817" spans="1:12" ht="15" customHeight="1" x14ac:dyDescent="0.3">
      <c r="A1817" s="82" t="str">
        <f t="shared" si="56"/>
        <v>2016</v>
      </c>
      <c r="B1817" s="72" t="s">
        <v>131</v>
      </c>
      <c r="C1817" s="73" t="s">
        <v>132</v>
      </c>
      <c r="D1817" s="74" t="str">
        <f t="shared" si="57"/>
        <v>jul/2016</v>
      </c>
      <c r="E1817" s="53">
        <v>42571</v>
      </c>
      <c r="F1817" s="75" t="s">
        <v>1129</v>
      </c>
      <c r="G1817" s="72"/>
      <c r="H1817" s="49" t="s">
        <v>170</v>
      </c>
      <c r="I1817" s="49" t="s">
        <v>171</v>
      </c>
      <c r="J1817" s="76">
        <v>-9437.7000000000007</v>
      </c>
      <c r="K1817" s="83" t="str">
        <f>IFERROR(IFERROR(VLOOKUP(I1817,'DE-PARA'!B:D,3,0),VLOOKUP(I1817,'DE-PARA'!C:D,2,0)),"NÃO ENCONTRADO")</f>
        <v>Serviços</v>
      </c>
      <c r="L1817" s="50" t="str">
        <f>VLOOKUP(K1817,'Base -Receita-Despesa'!$B:$P,1,FALSE)</f>
        <v>Serviços</v>
      </c>
    </row>
    <row r="1818" spans="1:12" ht="15" customHeight="1" x14ac:dyDescent="0.3">
      <c r="A1818" s="82" t="str">
        <f t="shared" si="56"/>
        <v>2016</v>
      </c>
      <c r="B1818" s="72" t="s">
        <v>131</v>
      </c>
      <c r="C1818" s="73" t="s">
        <v>132</v>
      </c>
      <c r="D1818" s="74" t="str">
        <f t="shared" si="57"/>
        <v>jul/2016</v>
      </c>
      <c r="E1818" s="53">
        <v>42571</v>
      </c>
      <c r="F1818" s="75" t="s">
        <v>1045</v>
      </c>
      <c r="G1818" s="72"/>
      <c r="H1818" s="49" t="s">
        <v>1046</v>
      </c>
      <c r="I1818" s="49" t="s">
        <v>121</v>
      </c>
      <c r="J1818" s="76">
        <v>283762.90999999997</v>
      </c>
      <c r="K1818" s="83" t="s">
        <v>93</v>
      </c>
      <c r="L1818" s="50" t="str">
        <f>VLOOKUP(K1818,'Base -Receita-Despesa'!$B:$P,1,FALSE)</f>
        <v>Transferências da c/c para c/a ou c/p (-)</v>
      </c>
    </row>
    <row r="1819" spans="1:12" ht="15" customHeight="1" x14ac:dyDescent="0.3">
      <c r="A1819" s="82" t="str">
        <f t="shared" si="56"/>
        <v>2016</v>
      </c>
      <c r="B1819" s="72" t="s">
        <v>131</v>
      </c>
      <c r="C1819" s="73" t="s">
        <v>132</v>
      </c>
      <c r="D1819" s="74" t="str">
        <f t="shared" si="57"/>
        <v>jul/2016</v>
      </c>
      <c r="E1819" s="53">
        <v>42572</v>
      </c>
      <c r="F1819" s="75" t="s">
        <v>123</v>
      </c>
      <c r="G1819" s="72"/>
      <c r="H1819" s="49" t="s">
        <v>539</v>
      </c>
      <c r="I1819" s="49" t="s">
        <v>124</v>
      </c>
      <c r="J1819" s="76">
        <v>-3523.24</v>
      </c>
      <c r="K1819" s="83" t="str">
        <f>IFERROR(IFERROR(VLOOKUP(I1819,'DE-PARA'!B:D,3,0),VLOOKUP(I1819,'DE-PARA'!C:D,2,0)),"NÃO ENCONTRADO")</f>
        <v>Rescisões Trabalhistas</v>
      </c>
      <c r="L1819" s="50" t="str">
        <f>VLOOKUP(K1819,'Base -Receita-Despesa'!$B:$P,1,FALSE)</f>
        <v>Rescisões Trabalhistas</v>
      </c>
    </row>
    <row r="1820" spans="1:12" ht="15" customHeight="1" x14ac:dyDescent="0.3">
      <c r="A1820" s="82" t="str">
        <f t="shared" si="56"/>
        <v>2016</v>
      </c>
      <c r="B1820" s="72" t="s">
        <v>131</v>
      </c>
      <c r="C1820" s="73" t="s">
        <v>132</v>
      </c>
      <c r="D1820" s="74" t="str">
        <f t="shared" si="57"/>
        <v>jul/2016</v>
      </c>
      <c r="E1820" s="53">
        <v>42572</v>
      </c>
      <c r="F1820" s="75" t="s">
        <v>122</v>
      </c>
      <c r="G1820" s="72"/>
      <c r="H1820" s="49" t="s">
        <v>539</v>
      </c>
      <c r="I1820" s="49" t="s">
        <v>124</v>
      </c>
      <c r="J1820" s="76">
        <v>-1646.72</v>
      </c>
      <c r="K1820" s="83" t="str">
        <f>IFERROR(IFERROR(VLOOKUP(I1820,'DE-PARA'!B:D,3,0),VLOOKUP(I1820,'DE-PARA'!C:D,2,0)),"NÃO ENCONTRADO")</f>
        <v>Rescisões Trabalhistas</v>
      </c>
      <c r="L1820" s="50" t="str">
        <f>VLOOKUP(K1820,'Base -Receita-Despesa'!$B:$P,1,FALSE)</f>
        <v>Rescisões Trabalhistas</v>
      </c>
    </row>
    <row r="1821" spans="1:12" ht="15" customHeight="1" x14ac:dyDescent="0.3">
      <c r="A1821" s="82" t="str">
        <f t="shared" si="56"/>
        <v>2016</v>
      </c>
      <c r="B1821" s="72" t="s">
        <v>131</v>
      </c>
      <c r="C1821" s="73" t="s">
        <v>132</v>
      </c>
      <c r="D1821" s="74" t="str">
        <f t="shared" si="57"/>
        <v>jul/2016</v>
      </c>
      <c r="E1821" s="53">
        <v>42572</v>
      </c>
      <c r="F1821" s="75" t="s">
        <v>1359</v>
      </c>
      <c r="G1821" s="72"/>
      <c r="H1821" s="49" t="s">
        <v>211</v>
      </c>
      <c r="I1821" s="49" t="s">
        <v>157</v>
      </c>
      <c r="J1821" s="76">
        <v>-7000</v>
      </c>
      <c r="K1821" s="83" t="str">
        <f>IFERROR(IFERROR(VLOOKUP(I1821,'DE-PARA'!B:D,3,0),VLOOKUP(I1821,'DE-PARA'!C:D,2,0)),"NÃO ENCONTRADO")</f>
        <v>Concessionárias (água, luz e telefone)</v>
      </c>
      <c r="L1821" s="50" t="str">
        <f>VLOOKUP(K1821,'Base -Receita-Despesa'!$B:$P,1,FALSE)</f>
        <v>Concessionárias (água, luz e telefone)</v>
      </c>
    </row>
    <row r="1822" spans="1:12" ht="15" customHeight="1" x14ac:dyDescent="0.3">
      <c r="A1822" s="82" t="str">
        <f t="shared" si="56"/>
        <v>2016</v>
      </c>
      <c r="B1822" s="72" t="s">
        <v>131</v>
      </c>
      <c r="C1822" s="73" t="s">
        <v>132</v>
      </c>
      <c r="D1822" s="74" t="str">
        <f t="shared" si="57"/>
        <v>jul/2016</v>
      </c>
      <c r="E1822" s="53">
        <v>42572</v>
      </c>
      <c r="F1822" s="75" t="s">
        <v>1054</v>
      </c>
      <c r="G1822" s="72"/>
      <c r="H1822" s="49" t="s">
        <v>1055</v>
      </c>
      <c r="I1822" s="49" t="s">
        <v>1056</v>
      </c>
      <c r="J1822" s="76">
        <v>25724.75</v>
      </c>
      <c r="K1822" s="83" t="str">
        <f>IFERROR(IFERROR(VLOOKUP(I1822,'DE-PARA'!B:D,3,0),VLOOKUP(I1822,'DE-PARA'!C:D,2,0)),"NÃO ENCONTRADO")</f>
        <v>ENTRADA CONTA APLICAÇÃO (+)</v>
      </c>
      <c r="L1822" s="50" t="str">
        <f>VLOOKUP(K1822,'Base -Receita-Despesa'!$B:$P,1,FALSE)</f>
        <v>ENTRADA CONTA APLICAÇÃO (+)</v>
      </c>
    </row>
    <row r="1823" spans="1:12" ht="15" customHeight="1" x14ac:dyDescent="0.3">
      <c r="A1823" s="82" t="str">
        <f t="shared" si="56"/>
        <v>2016</v>
      </c>
      <c r="B1823" s="72" t="s">
        <v>131</v>
      </c>
      <c r="C1823" s="73" t="s">
        <v>132</v>
      </c>
      <c r="D1823" s="74" t="str">
        <f t="shared" si="57"/>
        <v>jul/2016</v>
      </c>
      <c r="E1823" s="53">
        <v>42572</v>
      </c>
      <c r="F1823" s="75" t="s">
        <v>828</v>
      </c>
      <c r="G1823" s="72"/>
      <c r="H1823" s="49" t="s">
        <v>836</v>
      </c>
      <c r="I1823" s="49" t="s">
        <v>830</v>
      </c>
      <c r="J1823" s="76">
        <v>-123.98</v>
      </c>
      <c r="K1823" s="83" t="str">
        <f>IFERROR(IFERROR(VLOOKUP(I1823,'DE-PARA'!B:D,3,0),VLOOKUP(I1823,'DE-PARA'!C:D,2,0)),"NÃO ENCONTRADO")</f>
        <v>Pessoal</v>
      </c>
      <c r="L1823" s="50" t="str">
        <f>VLOOKUP(K1823,'Base -Receita-Despesa'!$B:$P,1,FALSE)</f>
        <v>Pessoal</v>
      </c>
    </row>
    <row r="1824" spans="1:12" ht="15" customHeight="1" x14ac:dyDescent="0.3">
      <c r="A1824" s="82" t="str">
        <f t="shared" si="56"/>
        <v>2016</v>
      </c>
      <c r="B1824" s="72" t="s">
        <v>131</v>
      </c>
      <c r="C1824" s="73" t="s">
        <v>132</v>
      </c>
      <c r="D1824" s="74" t="str">
        <f t="shared" si="57"/>
        <v>jul/2016</v>
      </c>
      <c r="E1824" s="53">
        <v>42572</v>
      </c>
      <c r="F1824" s="75" t="s">
        <v>243</v>
      </c>
      <c r="G1824" s="72"/>
      <c r="H1824" s="49" t="s">
        <v>993</v>
      </c>
      <c r="I1824" s="49" t="s">
        <v>124</v>
      </c>
      <c r="J1824" s="76">
        <v>-8994.52</v>
      </c>
      <c r="K1824" s="83" t="str">
        <f>IFERROR(IFERROR(VLOOKUP(I1824,'DE-PARA'!B:D,3,0),VLOOKUP(I1824,'DE-PARA'!C:D,2,0)),"NÃO ENCONTRADO")</f>
        <v>Rescisões Trabalhistas</v>
      </c>
      <c r="L1824" s="50" t="str">
        <f>VLOOKUP(K1824,'Base -Receita-Despesa'!$B:$P,1,FALSE)</f>
        <v>Rescisões Trabalhistas</v>
      </c>
    </row>
    <row r="1825" spans="1:12" ht="15" customHeight="1" x14ac:dyDescent="0.3">
      <c r="A1825" s="82" t="str">
        <f t="shared" si="56"/>
        <v>2016</v>
      </c>
      <c r="B1825" s="72" t="s">
        <v>131</v>
      </c>
      <c r="C1825" s="73" t="s">
        <v>132</v>
      </c>
      <c r="D1825" s="74" t="str">
        <f t="shared" si="57"/>
        <v>jul/2016</v>
      </c>
      <c r="E1825" s="53">
        <v>42572</v>
      </c>
      <c r="F1825" s="75" t="s">
        <v>122</v>
      </c>
      <c r="G1825" s="72"/>
      <c r="H1825" s="49" t="s">
        <v>993</v>
      </c>
      <c r="I1825" s="49" t="s">
        <v>124</v>
      </c>
      <c r="J1825" s="76">
        <v>-4076</v>
      </c>
      <c r="K1825" s="83" t="str">
        <f>IFERROR(IFERROR(VLOOKUP(I1825,'DE-PARA'!B:D,3,0),VLOOKUP(I1825,'DE-PARA'!C:D,2,0)),"NÃO ENCONTRADO")</f>
        <v>Rescisões Trabalhistas</v>
      </c>
      <c r="L1825" s="50" t="str">
        <f>VLOOKUP(K1825,'Base -Receita-Despesa'!$B:$P,1,FALSE)</f>
        <v>Rescisões Trabalhistas</v>
      </c>
    </row>
    <row r="1826" spans="1:12" ht="15" customHeight="1" x14ac:dyDescent="0.3">
      <c r="A1826" s="82" t="str">
        <f t="shared" si="56"/>
        <v>2016</v>
      </c>
      <c r="B1826" s="72" t="s">
        <v>131</v>
      </c>
      <c r="C1826" s="73" t="s">
        <v>132</v>
      </c>
      <c r="D1826" s="74" t="str">
        <f t="shared" si="57"/>
        <v>jul/2016</v>
      </c>
      <c r="E1826" s="53">
        <v>42572</v>
      </c>
      <c r="F1826" s="75" t="s">
        <v>1373</v>
      </c>
      <c r="G1826" s="72"/>
      <c r="H1826" s="49" t="s">
        <v>187</v>
      </c>
      <c r="I1826" s="49" t="s">
        <v>159</v>
      </c>
      <c r="J1826" s="76">
        <v>-360.29</v>
      </c>
      <c r="K1826" s="83" t="str">
        <f>IFERROR(IFERROR(VLOOKUP(I1826,'DE-PARA'!B:D,3,0),VLOOKUP(I1826,'DE-PARA'!C:D,2,0)),"NÃO ENCONTRADO")</f>
        <v>Materiais</v>
      </c>
      <c r="L1826" s="50" t="str">
        <f>VLOOKUP(K1826,'Base -Receita-Despesa'!$B:$P,1,FALSE)</f>
        <v>Materiais</v>
      </c>
    </row>
    <row r="1827" spans="1:12" ht="15" customHeight="1" x14ac:dyDescent="0.3">
      <c r="A1827" s="82" t="str">
        <f t="shared" si="56"/>
        <v>2016</v>
      </c>
      <c r="B1827" s="72" t="s">
        <v>131</v>
      </c>
      <c r="C1827" s="73" t="s">
        <v>132</v>
      </c>
      <c r="D1827" s="74" t="str">
        <f t="shared" si="57"/>
        <v>jul/2016</v>
      </c>
      <c r="E1827" s="53">
        <v>42573</v>
      </c>
      <c r="F1827" s="75" t="s">
        <v>1361</v>
      </c>
      <c r="G1827" s="72"/>
      <c r="H1827" s="49" t="s">
        <v>328</v>
      </c>
      <c r="I1827" s="49" t="s">
        <v>159</v>
      </c>
      <c r="J1827" s="76">
        <v>-739.8</v>
      </c>
      <c r="K1827" s="83" t="str">
        <f>IFERROR(IFERROR(VLOOKUP(I1827,'DE-PARA'!B:D,3,0),VLOOKUP(I1827,'DE-PARA'!C:D,2,0)),"NÃO ENCONTRADO")</f>
        <v>Materiais</v>
      </c>
      <c r="L1827" s="50" t="str">
        <f>VLOOKUP(K1827,'Base -Receita-Despesa'!$B:$P,1,FALSE)</f>
        <v>Materiais</v>
      </c>
    </row>
    <row r="1828" spans="1:12" ht="15" customHeight="1" x14ac:dyDescent="0.3">
      <c r="A1828" s="82" t="str">
        <f t="shared" si="56"/>
        <v>2016</v>
      </c>
      <c r="B1828" s="72" t="s">
        <v>131</v>
      </c>
      <c r="C1828" s="73" t="s">
        <v>132</v>
      </c>
      <c r="D1828" s="74" t="str">
        <f t="shared" si="57"/>
        <v>jul/2016</v>
      </c>
      <c r="E1828" s="53">
        <v>42573</v>
      </c>
      <c r="F1828" s="75" t="s">
        <v>840</v>
      </c>
      <c r="G1828" s="72"/>
      <c r="H1828" s="49" t="s">
        <v>863</v>
      </c>
      <c r="I1828" s="49" t="s">
        <v>129</v>
      </c>
      <c r="J1828" s="76">
        <v>-7.85</v>
      </c>
      <c r="K1828" s="83" t="str">
        <f>IFERROR(IFERROR(VLOOKUP(I1828,'DE-PARA'!B:D,3,0),VLOOKUP(I1828,'DE-PARA'!C:D,2,0)),"NÃO ENCONTRADO")</f>
        <v>Outras Saídas</v>
      </c>
      <c r="L1828" s="50" t="str">
        <f>VLOOKUP(K1828,'Base -Receita-Despesa'!$B:$P,1,FALSE)</f>
        <v>Outras Saídas</v>
      </c>
    </row>
    <row r="1829" spans="1:12" ht="15" customHeight="1" x14ac:dyDescent="0.3">
      <c r="A1829" s="82" t="str">
        <f t="shared" si="56"/>
        <v>2016</v>
      </c>
      <c r="B1829" s="72" t="s">
        <v>131</v>
      </c>
      <c r="C1829" s="73" t="s">
        <v>132</v>
      </c>
      <c r="D1829" s="74" t="str">
        <f t="shared" si="57"/>
        <v>jul/2016</v>
      </c>
      <c r="E1829" s="53">
        <v>42573</v>
      </c>
      <c r="F1829" s="75" t="s">
        <v>1362</v>
      </c>
      <c r="G1829" s="72"/>
      <c r="H1829" s="49" t="s">
        <v>904</v>
      </c>
      <c r="I1829" s="49" t="s">
        <v>905</v>
      </c>
      <c r="J1829" s="76">
        <v>-372</v>
      </c>
      <c r="K1829" s="83" t="str">
        <f>IFERROR(IFERROR(VLOOKUP(I1829,'DE-PARA'!B:D,3,0),VLOOKUP(I1829,'DE-PARA'!C:D,2,0)),"NÃO ENCONTRADO")</f>
        <v>Materiais</v>
      </c>
      <c r="L1829" s="50" t="str">
        <f>VLOOKUP(K1829,'Base -Receita-Despesa'!$B:$P,1,FALSE)</f>
        <v>Materiais</v>
      </c>
    </row>
    <row r="1830" spans="1:12" ht="15" customHeight="1" x14ac:dyDescent="0.3">
      <c r="A1830" s="82" t="str">
        <f t="shared" si="56"/>
        <v>2016</v>
      </c>
      <c r="B1830" s="72" t="s">
        <v>131</v>
      </c>
      <c r="C1830" s="73" t="s">
        <v>132</v>
      </c>
      <c r="D1830" s="74" t="str">
        <f t="shared" si="57"/>
        <v>jul/2016</v>
      </c>
      <c r="E1830" s="53">
        <v>42573</v>
      </c>
      <c r="F1830" s="75" t="s">
        <v>1363</v>
      </c>
      <c r="G1830" s="72"/>
      <c r="H1830" s="49" t="s">
        <v>904</v>
      </c>
      <c r="I1830" s="49" t="s">
        <v>905</v>
      </c>
      <c r="J1830" s="76">
        <v>-121.17</v>
      </c>
      <c r="K1830" s="83" t="str">
        <f>IFERROR(IFERROR(VLOOKUP(I1830,'DE-PARA'!B:D,3,0),VLOOKUP(I1830,'DE-PARA'!C:D,2,0)),"NÃO ENCONTRADO")</f>
        <v>Materiais</v>
      </c>
      <c r="L1830" s="50" t="str">
        <f>VLOOKUP(K1830,'Base -Receita-Despesa'!$B:$P,1,FALSE)</f>
        <v>Materiais</v>
      </c>
    </row>
    <row r="1831" spans="1:12" ht="15" customHeight="1" x14ac:dyDescent="0.3">
      <c r="A1831" s="82" t="str">
        <f t="shared" si="56"/>
        <v>2016</v>
      </c>
      <c r="B1831" s="72" t="s">
        <v>131</v>
      </c>
      <c r="C1831" s="73" t="s">
        <v>132</v>
      </c>
      <c r="D1831" s="74" t="str">
        <f t="shared" si="57"/>
        <v>jul/2016</v>
      </c>
      <c r="E1831" s="53">
        <v>42573</v>
      </c>
      <c r="F1831" s="75" t="s">
        <v>199</v>
      </c>
      <c r="G1831" s="72"/>
      <c r="H1831" s="49" t="s">
        <v>673</v>
      </c>
      <c r="I1831" s="49" t="s">
        <v>192</v>
      </c>
      <c r="J1831" s="76">
        <v>-138.12</v>
      </c>
      <c r="K1831" s="83" t="str">
        <f>IFERROR(IFERROR(VLOOKUP(I1831,'DE-PARA'!B:D,3,0),VLOOKUP(I1831,'DE-PARA'!C:D,2,0)),"NÃO ENCONTRADO")</f>
        <v>Materiais</v>
      </c>
      <c r="L1831" s="50" t="str">
        <f>VLOOKUP(K1831,'Base -Receita-Despesa'!$B:$P,1,FALSE)</f>
        <v>Materiais</v>
      </c>
    </row>
    <row r="1832" spans="1:12" ht="15" customHeight="1" x14ac:dyDescent="0.3">
      <c r="A1832" s="82" t="str">
        <f t="shared" si="56"/>
        <v>2016</v>
      </c>
      <c r="B1832" s="72" t="s">
        <v>131</v>
      </c>
      <c r="C1832" s="73" t="s">
        <v>132</v>
      </c>
      <c r="D1832" s="74" t="str">
        <f t="shared" si="57"/>
        <v>jul/2016</v>
      </c>
      <c r="E1832" s="53">
        <v>42573</v>
      </c>
      <c r="F1832" s="75" t="s">
        <v>199</v>
      </c>
      <c r="G1832" s="72"/>
      <c r="H1832" s="49" t="s">
        <v>523</v>
      </c>
      <c r="I1832" s="49" t="s">
        <v>192</v>
      </c>
      <c r="J1832" s="76">
        <v>-151.80000000000001</v>
      </c>
      <c r="K1832" s="83" t="str">
        <f>IFERROR(IFERROR(VLOOKUP(I1832,'DE-PARA'!B:D,3,0),VLOOKUP(I1832,'DE-PARA'!C:D,2,0)),"NÃO ENCONTRADO")</f>
        <v>Materiais</v>
      </c>
      <c r="L1832" s="50" t="str">
        <f>VLOOKUP(K1832,'Base -Receita-Despesa'!$B:$P,1,FALSE)</f>
        <v>Materiais</v>
      </c>
    </row>
    <row r="1833" spans="1:12" ht="15" customHeight="1" x14ac:dyDescent="0.3">
      <c r="A1833" s="82" t="str">
        <f t="shared" si="56"/>
        <v>2016</v>
      </c>
      <c r="B1833" s="72" t="s">
        <v>131</v>
      </c>
      <c r="C1833" s="73" t="s">
        <v>132</v>
      </c>
      <c r="D1833" s="74" t="str">
        <f t="shared" si="57"/>
        <v>jul/2016</v>
      </c>
      <c r="E1833" s="53">
        <v>42573</v>
      </c>
      <c r="F1833" s="75" t="s">
        <v>1364</v>
      </c>
      <c r="G1833" s="72"/>
      <c r="H1833" s="49" t="s">
        <v>166</v>
      </c>
      <c r="I1833" s="49" t="s">
        <v>167</v>
      </c>
      <c r="J1833" s="76">
        <v>-187</v>
      </c>
      <c r="K1833" s="83" t="str">
        <f>IFERROR(IFERROR(VLOOKUP(I1833,'DE-PARA'!B:D,3,0),VLOOKUP(I1833,'DE-PARA'!C:D,2,0)),"NÃO ENCONTRADO")</f>
        <v>Materiais</v>
      </c>
      <c r="L1833" s="50" t="str">
        <f>VLOOKUP(K1833,'Base -Receita-Despesa'!$B:$P,1,FALSE)</f>
        <v>Materiais</v>
      </c>
    </row>
    <row r="1834" spans="1:12" ht="15" customHeight="1" x14ac:dyDescent="0.3">
      <c r="A1834" s="82" t="str">
        <f t="shared" si="56"/>
        <v>2016</v>
      </c>
      <c r="B1834" s="72" t="s">
        <v>131</v>
      </c>
      <c r="C1834" s="73" t="s">
        <v>132</v>
      </c>
      <c r="D1834" s="74" t="str">
        <f t="shared" si="57"/>
        <v>jul/2016</v>
      </c>
      <c r="E1834" s="53">
        <v>42573</v>
      </c>
      <c r="F1834" s="75" t="s">
        <v>1054</v>
      </c>
      <c r="G1834" s="72"/>
      <c r="H1834" s="49" t="s">
        <v>1055</v>
      </c>
      <c r="I1834" s="49" t="s">
        <v>1056</v>
      </c>
      <c r="J1834" s="76">
        <v>1717.74</v>
      </c>
      <c r="K1834" s="83" t="str">
        <f>IFERROR(IFERROR(VLOOKUP(I1834,'DE-PARA'!B:D,3,0),VLOOKUP(I1834,'DE-PARA'!C:D,2,0)),"NÃO ENCONTRADO")</f>
        <v>ENTRADA CONTA APLICAÇÃO (+)</v>
      </c>
      <c r="L1834" s="50" t="str">
        <f>VLOOKUP(K1834,'Base -Receita-Despesa'!$B:$P,1,FALSE)</f>
        <v>ENTRADA CONTA APLICAÇÃO (+)</v>
      </c>
    </row>
    <row r="1835" spans="1:12" ht="15" customHeight="1" x14ac:dyDescent="0.3">
      <c r="A1835" s="82" t="str">
        <f t="shared" si="56"/>
        <v>2016</v>
      </c>
      <c r="B1835" s="72" t="s">
        <v>249</v>
      </c>
      <c r="C1835" s="73" t="s">
        <v>132</v>
      </c>
      <c r="D1835" s="74" t="str">
        <f t="shared" si="57"/>
        <v>jul/2016</v>
      </c>
      <c r="E1835" s="53">
        <v>42576</v>
      </c>
      <c r="F1835" s="75" t="s">
        <v>1244</v>
      </c>
      <c r="G1835" s="72"/>
      <c r="H1835" s="49" t="s">
        <v>1245</v>
      </c>
      <c r="I1835" s="49" t="s">
        <v>129</v>
      </c>
      <c r="J1835" s="76">
        <v>-25.3</v>
      </c>
      <c r="K1835" s="83" t="str">
        <f>IFERROR(IFERROR(VLOOKUP(I1835,'DE-PARA'!B:D,3,0),VLOOKUP(I1835,'DE-PARA'!C:D,2,0)),"NÃO ENCONTRADO")</f>
        <v>Outras Saídas</v>
      </c>
      <c r="L1835" s="50" t="str">
        <f>VLOOKUP(K1835,'Base -Receita-Despesa'!$B:$P,1,FALSE)</f>
        <v>Outras Saídas</v>
      </c>
    </row>
    <row r="1836" spans="1:12" ht="15" customHeight="1" x14ac:dyDescent="0.3">
      <c r="A1836" s="82" t="str">
        <f t="shared" si="56"/>
        <v>2016</v>
      </c>
      <c r="B1836" s="72" t="s">
        <v>131</v>
      </c>
      <c r="C1836" s="73" t="s">
        <v>132</v>
      </c>
      <c r="D1836" s="74" t="str">
        <f t="shared" si="57"/>
        <v>jul/2016</v>
      </c>
      <c r="E1836" s="53">
        <v>42576</v>
      </c>
      <c r="F1836" s="75" t="s">
        <v>1365</v>
      </c>
      <c r="G1836" s="72"/>
      <c r="H1836" s="49" t="s">
        <v>271</v>
      </c>
      <c r="I1836" s="49" t="s">
        <v>138</v>
      </c>
      <c r="J1836" s="76">
        <v>-2450</v>
      </c>
      <c r="K1836" s="83" t="str">
        <f>IFERROR(IFERROR(VLOOKUP(I1836,'DE-PARA'!B:D,3,0),VLOOKUP(I1836,'DE-PARA'!C:D,2,0)),"NÃO ENCONTRADO")</f>
        <v>Serviços</v>
      </c>
      <c r="L1836" s="50" t="str">
        <f>VLOOKUP(K1836,'Base -Receita-Despesa'!$B:$P,1,FALSE)</f>
        <v>Serviços</v>
      </c>
    </row>
    <row r="1837" spans="1:12" ht="15" customHeight="1" x14ac:dyDescent="0.3">
      <c r="A1837" s="82" t="str">
        <f t="shared" si="56"/>
        <v>2016</v>
      </c>
      <c r="B1837" s="72" t="s">
        <v>131</v>
      </c>
      <c r="C1837" s="73" t="s">
        <v>132</v>
      </c>
      <c r="D1837" s="74" t="str">
        <f t="shared" si="57"/>
        <v>jul/2016</v>
      </c>
      <c r="E1837" s="53">
        <v>42576</v>
      </c>
      <c r="F1837" s="75" t="s">
        <v>1366</v>
      </c>
      <c r="G1837" s="72"/>
      <c r="H1837" s="49" t="s">
        <v>205</v>
      </c>
      <c r="I1837" s="49" t="s">
        <v>206</v>
      </c>
      <c r="J1837" s="76">
        <v>-8500</v>
      </c>
      <c r="K1837" s="83" t="str">
        <f>IFERROR(IFERROR(VLOOKUP(I1837,'DE-PARA'!B:D,3,0),VLOOKUP(I1837,'DE-PARA'!C:D,2,0)),"NÃO ENCONTRADO")</f>
        <v>Serviços</v>
      </c>
      <c r="L1837" s="50" t="str">
        <f>VLOOKUP(K1837,'Base -Receita-Despesa'!$B:$P,1,FALSE)</f>
        <v>Serviços</v>
      </c>
    </row>
    <row r="1838" spans="1:12" ht="15" customHeight="1" x14ac:dyDescent="0.3">
      <c r="A1838" s="82" t="str">
        <f t="shared" si="56"/>
        <v>2016</v>
      </c>
      <c r="B1838" s="72" t="s">
        <v>131</v>
      </c>
      <c r="C1838" s="73" t="s">
        <v>132</v>
      </c>
      <c r="D1838" s="74" t="str">
        <f t="shared" si="57"/>
        <v>jul/2016</v>
      </c>
      <c r="E1838" s="53">
        <v>42576</v>
      </c>
      <c r="F1838" s="75" t="s">
        <v>840</v>
      </c>
      <c r="G1838" s="72"/>
      <c r="H1838" s="49" t="s">
        <v>1245</v>
      </c>
      <c r="I1838" s="49" t="s">
        <v>129</v>
      </c>
      <c r="J1838" s="76">
        <v>-25.3</v>
      </c>
      <c r="K1838" s="83" t="str">
        <f>IFERROR(IFERROR(VLOOKUP(I1838,'DE-PARA'!B:D,3,0),VLOOKUP(I1838,'DE-PARA'!C:D,2,0)),"NÃO ENCONTRADO")</f>
        <v>Outras Saídas</v>
      </c>
      <c r="L1838" s="50" t="str">
        <f>VLOOKUP(K1838,'Base -Receita-Despesa'!$B:$P,1,FALSE)</f>
        <v>Outras Saídas</v>
      </c>
    </row>
    <row r="1839" spans="1:12" ht="15" customHeight="1" x14ac:dyDescent="0.3">
      <c r="A1839" s="82" t="str">
        <f t="shared" si="56"/>
        <v>2016</v>
      </c>
      <c r="B1839" s="72" t="s">
        <v>131</v>
      </c>
      <c r="C1839" s="73" t="s">
        <v>132</v>
      </c>
      <c r="D1839" s="74" t="str">
        <f t="shared" si="57"/>
        <v>jul/2016</v>
      </c>
      <c r="E1839" s="53">
        <v>42576</v>
      </c>
      <c r="F1839" s="75" t="s">
        <v>1367</v>
      </c>
      <c r="G1839" s="72"/>
      <c r="H1839" s="49" t="s">
        <v>691</v>
      </c>
      <c r="I1839" s="49" t="s">
        <v>167</v>
      </c>
      <c r="J1839" s="76">
        <v>-241.38</v>
      </c>
      <c r="K1839" s="83" t="str">
        <f>IFERROR(IFERROR(VLOOKUP(I1839,'DE-PARA'!B:D,3,0),VLOOKUP(I1839,'DE-PARA'!C:D,2,0)),"NÃO ENCONTRADO")</f>
        <v>Materiais</v>
      </c>
      <c r="L1839" s="50" t="str">
        <f>VLOOKUP(K1839,'Base -Receita-Despesa'!$B:$P,1,FALSE)</f>
        <v>Materiais</v>
      </c>
    </row>
    <row r="1840" spans="1:12" ht="15" customHeight="1" x14ac:dyDescent="0.3">
      <c r="A1840" s="82" t="str">
        <f t="shared" si="56"/>
        <v>2016</v>
      </c>
      <c r="B1840" s="72" t="s">
        <v>131</v>
      </c>
      <c r="C1840" s="73" t="s">
        <v>132</v>
      </c>
      <c r="D1840" s="74" t="str">
        <f t="shared" si="57"/>
        <v>jul/2016</v>
      </c>
      <c r="E1840" s="53">
        <v>42576</v>
      </c>
      <c r="F1840" s="75" t="s">
        <v>1368</v>
      </c>
      <c r="G1840" s="72"/>
      <c r="H1840" s="49" t="s">
        <v>182</v>
      </c>
      <c r="I1840" s="49" t="s">
        <v>138</v>
      </c>
      <c r="J1840" s="76">
        <v>-4714.08</v>
      </c>
      <c r="K1840" s="83" t="str">
        <f>IFERROR(IFERROR(VLOOKUP(I1840,'DE-PARA'!B:D,3,0),VLOOKUP(I1840,'DE-PARA'!C:D,2,0)),"NÃO ENCONTRADO")</f>
        <v>Serviços</v>
      </c>
      <c r="L1840" s="50" t="str">
        <f>VLOOKUP(K1840,'Base -Receita-Despesa'!$B:$P,1,FALSE)</f>
        <v>Serviços</v>
      </c>
    </row>
    <row r="1841" spans="1:12" ht="15" customHeight="1" x14ac:dyDescent="0.3">
      <c r="A1841" s="82" t="str">
        <f t="shared" si="56"/>
        <v>2016</v>
      </c>
      <c r="B1841" s="72" t="s">
        <v>131</v>
      </c>
      <c r="C1841" s="73" t="s">
        <v>132</v>
      </c>
      <c r="D1841" s="74" t="str">
        <f t="shared" si="57"/>
        <v>jul/2016</v>
      </c>
      <c r="E1841" s="53">
        <v>42576</v>
      </c>
      <c r="F1841" s="75" t="s">
        <v>1054</v>
      </c>
      <c r="G1841" s="72"/>
      <c r="H1841" s="49" t="s">
        <v>1055</v>
      </c>
      <c r="I1841" s="49" t="s">
        <v>1056</v>
      </c>
      <c r="J1841" s="76">
        <v>15930.76</v>
      </c>
      <c r="K1841" s="83" t="str">
        <f>IFERROR(IFERROR(VLOOKUP(I1841,'DE-PARA'!B:D,3,0),VLOOKUP(I1841,'DE-PARA'!C:D,2,0)),"NÃO ENCONTRADO")</f>
        <v>ENTRADA CONTA APLICAÇÃO (+)</v>
      </c>
      <c r="L1841" s="50" t="str">
        <f>VLOOKUP(K1841,'Base -Receita-Despesa'!$B:$P,1,FALSE)</f>
        <v>ENTRADA CONTA APLICAÇÃO (+)</v>
      </c>
    </row>
    <row r="1842" spans="1:12" ht="15" customHeight="1" x14ac:dyDescent="0.3">
      <c r="A1842" s="82" t="str">
        <f t="shared" si="56"/>
        <v>2016</v>
      </c>
      <c r="B1842" s="72" t="s">
        <v>249</v>
      </c>
      <c r="C1842" s="73" t="s">
        <v>132</v>
      </c>
      <c r="D1842" s="74" t="str">
        <f t="shared" si="57"/>
        <v>jul/2016</v>
      </c>
      <c r="E1842" s="53">
        <v>42578</v>
      </c>
      <c r="F1842" s="75" t="s">
        <v>154</v>
      </c>
      <c r="G1842" s="72"/>
      <c r="H1842" s="49" t="s">
        <v>154</v>
      </c>
      <c r="I1842" s="49" t="s">
        <v>1497</v>
      </c>
      <c r="J1842" s="76">
        <v>128849.95</v>
      </c>
      <c r="K1842" s="83" t="str">
        <f>IFERROR(IFERROR(VLOOKUP(I1842,'DE-PARA'!B:D,3,0),VLOOKUP(I1842,'DE-PARA'!C:D,2,0)),"NÃO ENCONTRADO")</f>
        <v>Repasses Contrato de Gestão</v>
      </c>
      <c r="L1842" s="50" t="str">
        <f>VLOOKUP(K1842,'Base -Receita-Despesa'!$B:$P,1,FALSE)</f>
        <v>Repasses Contrato de Gestão</v>
      </c>
    </row>
    <row r="1843" spans="1:12" ht="15" customHeight="1" x14ac:dyDescent="0.3">
      <c r="A1843" s="82" t="str">
        <f t="shared" si="56"/>
        <v>2016</v>
      </c>
      <c r="B1843" s="72" t="s">
        <v>249</v>
      </c>
      <c r="C1843" s="73" t="s">
        <v>132</v>
      </c>
      <c r="D1843" s="74" t="str">
        <f t="shared" si="57"/>
        <v>jul/2016</v>
      </c>
      <c r="E1843" s="53">
        <v>42578</v>
      </c>
      <c r="F1843" s="75" t="s">
        <v>154</v>
      </c>
      <c r="G1843" s="72"/>
      <c r="H1843" s="49" t="s">
        <v>154</v>
      </c>
      <c r="I1843" s="49" t="s">
        <v>1497</v>
      </c>
      <c r="J1843" s="76">
        <v>129221.03</v>
      </c>
      <c r="K1843" s="83" t="str">
        <f>IFERROR(IFERROR(VLOOKUP(I1843,'DE-PARA'!B:D,3,0),VLOOKUP(I1843,'DE-PARA'!C:D,2,0)),"NÃO ENCONTRADO")</f>
        <v>Repasses Contrato de Gestão</v>
      </c>
      <c r="L1843" s="50" t="str">
        <f>VLOOKUP(K1843,'Base -Receita-Despesa'!$B:$P,1,FALSE)</f>
        <v>Repasses Contrato de Gestão</v>
      </c>
    </row>
    <row r="1844" spans="1:12" ht="15" customHeight="1" x14ac:dyDescent="0.3">
      <c r="A1844" s="82" t="str">
        <f t="shared" si="56"/>
        <v>2016</v>
      </c>
      <c r="B1844" s="72" t="s">
        <v>249</v>
      </c>
      <c r="C1844" s="73" t="s">
        <v>132</v>
      </c>
      <c r="D1844" s="74" t="str">
        <f t="shared" si="57"/>
        <v>jul/2016</v>
      </c>
      <c r="E1844" s="53">
        <v>42578</v>
      </c>
      <c r="F1844" s="75" t="s">
        <v>1045</v>
      </c>
      <c r="G1844" s="72"/>
      <c r="H1844" s="49" t="s">
        <v>1243</v>
      </c>
      <c r="I1844" s="49" t="s">
        <v>121</v>
      </c>
      <c r="J1844" s="76">
        <v>-258070.98</v>
      </c>
      <c r="K1844" s="83" t="s">
        <v>93</v>
      </c>
      <c r="L1844" s="50" t="str">
        <f>VLOOKUP(K1844,'Base -Receita-Despesa'!$B:$P,1,FALSE)</f>
        <v>Transferências da c/c para c/a ou c/p (-)</v>
      </c>
    </row>
    <row r="1845" spans="1:12" ht="15" customHeight="1" x14ac:dyDescent="0.3">
      <c r="A1845" s="82" t="str">
        <f t="shared" si="56"/>
        <v>2016</v>
      </c>
      <c r="B1845" s="72" t="s">
        <v>131</v>
      </c>
      <c r="C1845" s="73" t="s">
        <v>132</v>
      </c>
      <c r="D1845" s="74" t="str">
        <f t="shared" si="57"/>
        <v>jul/2016</v>
      </c>
      <c r="E1845" s="53">
        <v>42578</v>
      </c>
      <c r="F1845" s="75" t="s">
        <v>1318</v>
      </c>
      <c r="G1845" s="72"/>
      <c r="H1845" s="49" t="s">
        <v>187</v>
      </c>
      <c r="I1845" s="49" t="s">
        <v>159</v>
      </c>
      <c r="J1845" s="76">
        <v>-370</v>
      </c>
      <c r="K1845" s="83" t="str">
        <f>IFERROR(IFERROR(VLOOKUP(I1845,'DE-PARA'!B:D,3,0),VLOOKUP(I1845,'DE-PARA'!C:D,2,0)),"NÃO ENCONTRADO")</f>
        <v>Materiais</v>
      </c>
      <c r="L1845" s="50" t="str">
        <f>VLOOKUP(K1845,'Base -Receita-Despesa'!$B:$P,1,FALSE)</f>
        <v>Materiais</v>
      </c>
    </row>
    <row r="1846" spans="1:12" ht="15" customHeight="1" x14ac:dyDescent="0.3">
      <c r="A1846" s="82" t="str">
        <f t="shared" si="56"/>
        <v>2016</v>
      </c>
      <c r="B1846" s="72" t="s">
        <v>131</v>
      </c>
      <c r="C1846" s="73" t="s">
        <v>132</v>
      </c>
      <c r="D1846" s="74" t="str">
        <f t="shared" si="57"/>
        <v>jul/2016</v>
      </c>
      <c r="E1846" s="53">
        <v>42578</v>
      </c>
      <c r="F1846" s="75" t="s">
        <v>1369</v>
      </c>
      <c r="G1846" s="72"/>
      <c r="H1846" s="49" t="s">
        <v>193</v>
      </c>
      <c r="I1846" s="49" t="s">
        <v>194</v>
      </c>
      <c r="J1846" s="76">
        <v>-1169.1099999999999</v>
      </c>
      <c r="K1846" s="83" t="str">
        <f>IFERROR(IFERROR(VLOOKUP(I1846,'DE-PARA'!B:D,3,0),VLOOKUP(I1846,'DE-PARA'!C:D,2,0)),"NÃO ENCONTRADO")</f>
        <v>Despesas com Viagens</v>
      </c>
      <c r="L1846" s="50" t="str">
        <f>VLOOKUP(K1846,'Base -Receita-Despesa'!$B:$P,1,FALSE)</f>
        <v>Despesas com Viagens</v>
      </c>
    </row>
    <row r="1847" spans="1:12" ht="15" customHeight="1" x14ac:dyDescent="0.3">
      <c r="A1847" s="82" t="str">
        <f t="shared" si="56"/>
        <v>2016</v>
      </c>
      <c r="B1847" s="72" t="s">
        <v>131</v>
      </c>
      <c r="C1847" s="73" t="s">
        <v>132</v>
      </c>
      <c r="D1847" s="74" t="str">
        <f t="shared" si="57"/>
        <v>jul/2016</v>
      </c>
      <c r="E1847" s="53">
        <v>42578</v>
      </c>
      <c r="F1847" s="75" t="s">
        <v>1370</v>
      </c>
      <c r="G1847" s="72"/>
      <c r="H1847" s="49" t="s">
        <v>517</v>
      </c>
      <c r="I1847" s="49" t="s">
        <v>159</v>
      </c>
      <c r="J1847" s="76">
        <v>-931.5</v>
      </c>
      <c r="K1847" s="83" t="str">
        <f>IFERROR(IFERROR(VLOOKUP(I1847,'DE-PARA'!B:D,3,0),VLOOKUP(I1847,'DE-PARA'!C:D,2,0)),"NÃO ENCONTRADO")</f>
        <v>Materiais</v>
      </c>
      <c r="L1847" s="50" t="str">
        <f>VLOOKUP(K1847,'Base -Receita-Despesa'!$B:$P,1,FALSE)</f>
        <v>Materiais</v>
      </c>
    </row>
    <row r="1848" spans="1:12" ht="15" customHeight="1" x14ac:dyDescent="0.3">
      <c r="A1848" s="82" t="str">
        <f t="shared" si="56"/>
        <v>2016</v>
      </c>
      <c r="B1848" s="72" t="s">
        <v>131</v>
      </c>
      <c r="C1848" s="73" t="s">
        <v>132</v>
      </c>
      <c r="D1848" s="74" t="str">
        <f t="shared" si="57"/>
        <v>jul/2016</v>
      </c>
      <c r="E1848" s="53">
        <v>42578</v>
      </c>
      <c r="F1848" s="75" t="s">
        <v>1371</v>
      </c>
      <c r="G1848" s="72"/>
      <c r="H1848" s="49" t="s">
        <v>368</v>
      </c>
      <c r="I1848" s="49" t="s">
        <v>159</v>
      </c>
      <c r="J1848" s="76">
        <v>-190</v>
      </c>
      <c r="K1848" s="83" t="str">
        <f>IFERROR(IFERROR(VLOOKUP(I1848,'DE-PARA'!B:D,3,0),VLOOKUP(I1848,'DE-PARA'!C:D,2,0)),"NÃO ENCONTRADO")</f>
        <v>Materiais</v>
      </c>
      <c r="L1848" s="50" t="str">
        <f>VLOOKUP(K1848,'Base -Receita-Despesa'!$B:$P,1,FALSE)</f>
        <v>Materiais</v>
      </c>
    </row>
    <row r="1849" spans="1:12" ht="15" customHeight="1" x14ac:dyDescent="0.3">
      <c r="A1849" s="82" t="str">
        <f t="shared" si="56"/>
        <v>2016</v>
      </c>
      <c r="B1849" s="72" t="s">
        <v>131</v>
      </c>
      <c r="C1849" s="73" t="s">
        <v>132</v>
      </c>
      <c r="D1849" s="74" t="str">
        <f t="shared" si="57"/>
        <v>jul/2016</v>
      </c>
      <c r="E1849" s="53">
        <v>42578</v>
      </c>
      <c r="F1849" s="75" t="s">
        <v>1356</v>
      </c>
      <c r="G1849" s="72"/>
      <c r="H1849" s="49" t="s">
        <v>225</v>
      </c>
      <c r="I1849" s="49" t="s">
        <v>110</v>
      </c>
      <c r="J1849" s="76">
        <v>-1750</v>
      </c>
      <c r="K1849" s="83" t="str">
        <f>IFERROR(IFERROR(VLOOKUP(I1849,'DE-PARA'!B:D,3,0),VLOOKUP(I1849,'DE-PARA'!C:D,2,0)),"NÃO ENCONTRADO")</f>
        <v>Serviços</v>
      </c>
      <c r="L1849" s="50" t="str">
        <f>VLOOKUP(K1849,'Base -Receita-Despesa'!$B:$P,1,FALSE)</f>
        <v>Serviços</v>
      </c>
    </row>
    <row r="1850" spans="1:12" ht="15" customHeight="1" x14ac:dyDescent="0.3">
      <c r="A1850" s="82" t="str">
        <f t="shared" si="56"/>
        <v>2016</v>
      </c>
      <c r="B1850" s="72" t="s">
        <v>131</v>
      </c>
      <c r="C1850" s="73" t="s">
        <v>132</v>
      </c>
      <c r="D1850" s="74" t="str">
        <f t="shared" si="57"/>
        <v>jul/2016</v>
      </c>
      <c r="E1850" s="53">
        <v>42578</v>
      </c>
      <c r="F1850" s="75" t="s">
        <v>1372</v>
      </c>
      <c r="G1850" s="72"/>
      <c r="H1850" s="49" t="s">
        <v>225</v>
      </c>
      <c r="I1850" s="49" t="s">
        <v>110</v>
      </c>
      <c r="J1850" s="76">
        <v>-5444</v>
      </c>
      <c r="K1850" s="83" t="str">
        <f>IFERROR(IFERROR(VLOOKUP(I1850,'DE-PARA'!B:D,3,0),VLOOKUP(I1850,'DE-PARA'!C:D,2,0)),"NÃO ENCONTRADO")</f>
        <v>Serviços</v>
      </c>
      <c r="L1850" s="50" t="str">
        <f>VLOOKUP(K1850,'Base -Receita-Despesa'!$B:$P,1,FALSE)</f>
        <v>Serviços</v>
      </c>
    </row>
    <row r="1851" spans="1:12" ht="15" customHeight="1" x14ac:dyDescent="0.3">
      <c r="A1851" s="82" t="str">
        <f t="shared" si="56"/>
        <v>2016</v>
      </c>
      <c r="B1851" s="72" t="s">
        <v>131</v>
      </c>
      <c r="C1851" s="73" t="s">
        <v>132</v>
      </c>
      <c r="D1851" s="74" t="str">
        <f t="shared" si="57"/>
        <v>jul/2016</v>
      </c>
      <c r="E1851" s="53">
        <v>42578</v>
      </c>
      <c r="F1851" s="75" t="s">
        <v>1045</v>
      </c>
      <c r="G1851" s="72"/>
      <c r="H1851" s="49" t="s">
        <v>1046</v>
      </c>
      <c r="I1851" s="49" t="s">
        <v>121</v>
      </c>
      <c r="J1851" s="76">
        <v>258070.98</v>
      </c>
      <c r="K1851" s="83" t="s">
        <v>93</v>
      </c>
      <c r="L1851" s="50" t="str">
        <f>VLOOKUP(K1851,'Base -Receita-Despesa'!$B:$P,1,FALSE)</f>
        <v>Transferências da c/c para c/a ou c/p (-)</v>
      </c>
    </row>
    <row r="1852" spans="1:12" ht="15" customHeight="1" x14ac:dyDescent="0.3">
      <c r="A1852" s="82" t="str">
        <f t="shared" si="56"/>
        <v>2016</v>
      </c>
      <c r="B1852" s="72" t="s">
        <v>131</v>
      </c>
      <c r="C1852" s="73" t="s">
        <v>132</v>
      </c>
      <c r="D1852" s="74" t="str">
        <f t="shared" si="57"/>
        <v>jul/2016</v>
      </c>
      <c r="E1852" s="53">
        <v>42579</v>
      </c>
      <c r="F1852" s="75" t="s">
        <v>123</v>
      </c>
      <c r="G1852" s="72"/>
      <c r="H1852" s="49" t="s">
        <v>365</v>
      </c>
      <c r="I1852" s="49" t="s">
        <v>124</v>
      </c>
      <c r="J1852" s="76">
        <v>-9102.7199999999993</v>
      </c>
      <c r="K1852" s="83" t="str">
        <f>IFERROR(IFERROR(VLOOKUP(I1852,'DE-PARA'!B:D,3,0),VLOOKUP(I1852,'DE-PARA'!C:D,2,0)),"NÃO ENCONTRADO")</f>
        <v>Rescisões Trabalhistas</v>
      </c>
      <c r="L1852" s="50" t="str">
        <f>VLOOKUP(K1852,'Base -Receita-Despesa'!$B:$P,1,FALSE)</f>
        <v>Rescisões Trabalhistas</v>
      </c>
    </row>
    <row r="1853" spans="1:12" ht="15" customHeight="1" x14ac:dyDescent="0.3">
      <c r="A1853" s="82" t="str">
        <f t="shared" si="56"/>
        <v>2016</v>
      </c>
      <c r="B1853" s="72" t="s">
        <v>131</v>
      </c>
      <c r="C1853" s="73" t="s">
        <v>132</v>
      </c>
      <c r="D1853" s="74" t="str">
        <f t="shared" si="57"/>
        <v>jul/2016</v>
      </c>
      <c r="E1853" s="53">
        <v>42579</v>
      </c>
      <c r="F1853" s="75" t="s">
        <v>122</v>
      </c>
      <c r="G1853" s="72"/>
      <c r="H1853" s="49" t="s">
        <v>1374</v>
      </c>
      <c r="I1853" s="49" t="s">
        <v>124</v>
      </c>
      <c r="J1853" s="76">
        <v>-9836.58</v>
      </c>
      <c r="K1853" s="83" t="str">
        <f>IFERROR(IFERROR(VLOOKUP(I1853,'DE-PARA'!B:D,3,0),VLOOKUP(I1853,'DE-PARA'!C:D,2,0)),"NÃO ENCONTRADO")</f>
        <v>Rescisões Trabalhistas</v>
      </c>
      <c r="L1853" s="50" t="str">
        <f>VLOOKUP(K1853,'Base -Receita-Despesa'!$B:$P,1,FALSE)</f>
        <v>Rescisões Trabalhistas</v>
      </c>
    </row>
    <row r="1854" spans="1:12" ht="15" customHeight="1" x14ac:dyDescent="0.3">
      <c r="A1854" s="82" t="str">
        <f t="shared" si="56"/>
        <v>2016</v>
      </c>
      <c r="B1854" s="72" t="s">
        <v>131</v>
      </c>
      <c r="C1854" s="73" t="s">
        <v>132</v>
      </c>
      <c r="D1854" s="74" t="str">
        <f t="shared" si="57"/>
        <v>jul/2016</v>
      </c>
      <c r="E1854" s="53">
        <v>42579</v>
      </c>
      <c r="F1854" s="75" t="s">
        <v>123</v>
      </c>
      <c r="G1854" s="72"/>
      <c r="H1854" s="49" t="s">
        <v>1374</v>
      </c>
      <c r="I1854" s="49" t="s">
        <v>124</v>
      </c>
      <c r="J1854" s="76">
        <v>-21229.17</v>
      </c>
      <c r="K1854" s="83" t="str">
        <f>IFERROR(IFERROR(VLOOKUP(I1854,'DE-PARA'!B:D,3,0),VLOOKUP(I1854,'DE-PARA'!C:D,2,0)),"NÃO ENCONTRADO")</f>
        <v>Rescisões Trabalhistas</v>
      </c>
      <c r="L1854" s="50" t="str">
        <f>VLOOKUP(K1854,'Base -Receita-Despesa'!$B:$P,1,FALSE)</f>
        <v>Rescisões Trabalhistas</v>
      </c>
    </row>
    <row r="1855" spans="1:12" ht="15" customHeight="1" x14ac:dyDescent="0.3">
      <c r="A1855" s="82" t="str">
        <f t="shared" si="56"/>
        <v>2016</v>
      </c>
      <c r="B1855" s="72" t="s">
        <v>131</v>
      </c>
      <c r="C1855" s="73" t="s">
        <v>132</v>
      </c>
      <c r="D1855" s="74" t="str">
        <f t="shared" si="57"/>
        <v>jul/2016</v>
      </c>
      <c r="E1855" s="53">
        <v>42579</v>
      </c>
      <c r="F1855" s="75" t="s">
        <v>1375</v>
      </c>
      <c r="G1855" s="72"/>
      <c r="H1855" s="49" t="s">
        <v>1376</v>
      </c>
      <c r="I1855" s="49" t="s">
        <v>317</v>
      </c>
      <c r="J1855" s="76">
        <v>-540</v>
      </c>
      <c r="K1855" s="83" t="str">
        <f>IFERROR(IFERROR(VLOOKUP(I1855,'DE-PARA'!B:D,3,0),VLOOKUP(I1855,'DE-PARA'!C:D,2,0)),"NÃO ENCONTRADO")</f>
        <v>Investimentos</v>
      </c>
      <c r="L1855" s="50" t="str">
        <f>VLOOKUP(K1855,'Base -Receita-Despesa'!$B:$P,1,FALSE)</f>
        <v>Investimentos</v>
      </c>
    </row>
    <row r="1856" spans="1:12" ht="15" customHeight="1" x14ac:dyDescent="0.3">
      <c r="A1856" s="82" t="str">
        <f t="shared" si="56"/>
        <v>2016</v>
      </c>
      <c r="B1856" s="72" t="s">
        <v>131</v>
      </c>
      <c r="C1856" s="73" t="s">
        <v>132</v>
      </c>
      <c r="D1856" s="74" t="str">
        <f t="shared" si="57"/>
        <v>jul/2016</v>
      </c>
      <c r="E1856" s="53">
        <v>42579</v>
      </c>
      <c r="F1856" s="75" t="s">
        <v>1240</v>
      </c>
      <c r="G1856" s="72"/>
      <c r="H1856" s="49" t="s">
        <v>183</v>
      </c>
      <c r="I1856" s="49" t="s">
        <v>159</v>
      </c>
      <c r="J1856" s="76">
        <v>-982.32</v>
      </c>
      <c r="K1856" s="83" t="str">
        <f>IFERROR(IFERROR(VLOOKUP(I1856,'DE-PARA'!B:D,3,0),VLOOKUP(I1856,'DE-PARA'!C:D,2,0)),"NÃO ENCONTRADO")</f>
        <v>Materiais</v>
      </c>
      <c r="L1856" s="50" t="str">
        <f>VLOOKUP(K1856,'Base -Receita-Despesa'!$B:$P,1,FALSE)</f>
        <v>Materiais</v>
      </c>
    </row>
    <row r="1857" spans="1:12" ht="15" customHeight="1" x14ac:dyDescent="0.3">
      <c r="A1857" s="82" t="str">
        <f t="shared" si="56"/>
        <v>2016</v>
      </c>
      <c r="B1857" s="72" t="s">
        <v>131</v>
      </c>
      <c r="C1857" s="73" t="s">
        <v>132</v>
      </c>
      <c r="D1857" s="74" t="str">
        <f t="shared" si="57"/>
        <v>jul/2016</v>
      </c>
      <c r="E1857" s="53">
        <v>42579</v>
      </c>
      <c r="F1857" s="75" t="s">
        <v>122</v>
      </c>
      <c r="G1857" s="72"/>
      <c r="H1857" s="49" t="s">
        <v>1080</v>
      </c>
      <c r="I1857" s="49" t="s">
        <v>124</v>
      </c>
      <c r="J1857" s="76">
        <v>-594.77</v>
      </c>
      <c r="K1857" s="83" t="str">
        <f>IFERROR(IFERROR(VLOOKUP(I1857,'DE-PARA'!B:D,3,0),VLOOKUP(I1857,'DE-PARA'!C:D,2,0)),"NÃO ENCONTRADO")</f>
        <v>Rescisões Trabalhistas</v>
      </c>
      <c r="L1857" s="50" t="str">
        <f>VLOOKUP(K1857,'Base -Receita-Despesa'!$B:$P,1,FALSE)</f>
        <v>Rescisões Trabalhistas</v>
      </c>
    </row>
    <row r="1858" spans="1:12" ht="15" customHeight="1" x14ac:dyDescent="0.3">
      <c r="A1858" s="82" t="str">
        <f t="shared" si="56"/>
        <v>2016</v>
      </c>
      <c r="B1858" s="72" t="s">
        <v>131</v>
      </c>
      <c r="C1858" s="73" t="s">
        <v>132</v>
      </c>
      <c r="D1858" s="74" t="str">
        <f t="shared" si="57"/>
        <v>jul/2016</v>
      </c>
      <c r="E1858" s="53">
        <v>42580</v>
      </c>
      <c r="F1858" s="75" t="s">
        <v>594</v>
      </c>
      <c r="G1858" s="72"/>
      <c r="H1858" s="49" t="s">
        <v>594</v>
      </c>
      <c r="I1858" s="49" t="s">
        <v>1048</v>
      </c>
      <c r="J1858" s="76">
        <v>-187000</v>
      </c>
      <c r="K1858" s="83" t="str">
        <f>IFERROR(IFERROR(VLOOKUP(I1858,'DE-PARA'!B:D,3,0),VLOOKUP(I1858,'DE-PARA'!C:D,2,0)),"NÃO ENCONTRADO")</f>
        <v>Saídas Da C/A Por Regates (-)</v>
      </c>
      <c r="L1858" s="50" t="str">
        <f>VLOOKUP(K1858,'Base -Receita-Despesa'!$B:$P,1,FALSE)</f>
        <v>SAÍDAS DA C/A POR REGATES (-)</v>
      </c>
    </row>
    <row r="1859" spans="1:12" ht="15" customHeight="1" x14ac:dyDescent="0.3">
      <c r="A1859" s="82" t="str">
        <f t="shared" si="56"/>
        <v>2016</v>
      </c>
      <c r="B1859" s="72" t="s">
        <v>131</v>
      </c>
      <c r="C1859" s="73" t="s">
        <v>132</v>
      </c>
      <c r="D1859" s="74" t="str">
        <f t="shared" si="57"/>
        <v>jul/2016</v>
      </c>
      <c r="E1859" s="53">
        <v>42580</v>
      </c>
      <c r="F1859" s="75" t="s">
        <v>1047</v>
      </c>
      <c r="G1859" s="72"/>
      <c r="H1859" s="49" t="s">
        <v>1250</v>
      </c>
      <c r="I1859" s="49" t="s">
        <v>153</v>
      </c>
      <c r="J1859" s="76">
        <v>43.55</v>
      </c>
      <c r="K1859" s="83" t="str">
        <f>IFERROR(IFERROR(VLOOKUP(I1859,'DE-PARA'!B:D,3,0),VLOOKUP(I1859,'DE-PARA'!C:D,2,0)),"NÃO ENCONTRADO")</f>
        <v>Outras Saídas</v>
      </c>
      <c r="L1859" s="50" t="str">
        <f>VLOOKUP(K1859,'Base -Receita-Despesa'!$B:$P,1,FALSE)</f>
        <v>Outras Saídas</v>
      </c>
    </row>
    <row r="1860" spans="1:12" ht="15" customHeight="1" x14ac:dyDescent="0.3">
      <c r="A1860" s="82" t="str">
        <f t="shared" ref="A1860:A1923" si="58">IF(K1860="NÃO ENCONTRADO",0,RIGHT(D1860,4))</f>
        <v>2016</v>
      </c>
      <c r="B1860" s="72" t="s">
        <v>131</v>
      </c>
      <c r="C1860" s="73" t="s">
        <v>132</v>
      </c>
      <c r="D1860" s="74" t="str">
        <f t="shared" ref="D1860:D1923" si="59">TEXT(E1860,"mmm/aaaa")</f>
        <v>jul/2016</v>
      </c>
      <c r="E1860" s="53">
        <v>42580</v>
      </c>
      <c r="F1860" s="75" t="s">
        <v>958</v>
      </c>
      <c r="G1860" s="72"/>
      <c r="H1860" s="49" t="s">
        <v>1377</v>
      </c>
      <c r="I1860" s="49" t="s">
        <v>191</v>
      </c>
      <c r="J1860" s="76">
        <v>-196.56</v>
      </c>
      <c r="K1860" s="83" t="str">
        <f>IFERROR(IFERROR(VLOOKUP(I1860,'DE-PARA'!B:D,3,0),VLOOKUP(I1860,'DE-PARA'!C:D,2,0)),"NÃO ENCONTRADO")</f>
        <v>Serviços</v>
      </c>
      <c r="L1860" s="50" t="str">
        <f>VLOOKUP(K1860,'Base -Receita-Despesa'!$B:$P,1,FALSE)</f>
        <v>Serviços</v>
      </c>
    </row>
    <row r="1861" spans="1:12" ht="15" customHeight="1" x14ac:dyDescent="0.3">
      <c r="A1861" s="82" t="str">
        <f t="shared" si="58"/>
        <v>2016</v>
      </c>
      <c r="B1861" s="72" t="s">
        <v>131</v>
      </c>
      <c r="C1861" s="73" t="s">
        <v>132</v>
      </c>
      <c r="D1861" s="74" t="str">
        <f t="shared" si="59"/>
        <v>jul/2016</v>
      </c>
      <c r="E1861" s="53">
        <v>42580</v>
      </c>
      <c r="F1861" s="75" t="s">
        <v>958</v>
      </c>
      <c r="G1861" s="72"/>
      <c r="H1861" s="49" t="s">
        <v>1378</v>
      </c>
      <c r="I1861" s="49" t="s">
        <v>110</v>
      </c>
      <c r="J1861" s="76">
        <v>-225.85</v>
      </c>
      <c r="K1861" s="83" t="str">
        <f>IFERROR(IFERROR(VLOOKUP(I1861,'DE-PARA'!B:D,3,0),VLOOKUP(I1861,'DE-PARA'!C:D,2,0)),"NÃO ENCONTRADO")</f>
        <v>Serviços</v>
      </c>
      <c r="L1861" s="50" t="str">
        <f>VLOOKUP(K1861,'Base -Receita-Despesa'!$B:$P,1,FALSE)</f>
        <v>Serviços</v>
      </c>
    </row>
    <row r="1862" spans="1:12" ht="15" customHeight="1" x14ac:dyDescent="0.3">
      <c r="A1862" s="82" t="str">
        <f t="shared" si="58"/>
        <v>2016</v>
      </c>
      <c r="B1862" s="72" t="s">
        <v>131</v>
      </c>
      <c r="C1862" s="73" t="s">
        <v>132</v>
      </c>
      <c r="D1862" s="74" t="str">
        <f t="shared" si="59"/>
        <v>jul/2016</v>
      </c>
      <c r="E1862" s="53">
        <v>42580</v>
      </c>
      <c r="F1862" s="75" t="s">
        <v>283</v>
      </c>
      <c r="G1862" s="72"/>
      <c r="H1862" s="49" t="s">
        <v>1379</v>
      </c>
      <c r="I1862" s="49" t="s">
        <v>110</v>
      </c>
      <c r="J1862" s="76">
        <v>-12.03</v>
      </c>
      <c r="K1862" s="83" t="str">
        <f>IFERROR(IFERROR(VLOOKUP(I1862,'DE-PARA'!B:D,3,0),VLOOKUP(I1862,'DE-PARA'!C:D,2,0)),"NÃO ENCONTRADO")</f>
        <v>Serviços</v>
      </c>
      <c r="L1862" s="50" t="str">
        <f>VLOOKUP(K1862,'Base -Receita-Despesa'!$B:$P,1,FALSE)</f>
        <v>Serviços</v>
      </c>
    </row>
    <row r="1863" spans="1:12" ht="15" customHeight="1" x14ac:dyDescent="0.3">
      <c r="A1863" s="82" t="str">
        <f t="shared" si="58"/>
        <v>2016</v>
      </c>
      <c r="B1863" s="72" t="s">
        <v>131</v>
      </c>
      <c r="C1863" s="73" t="s">
        <v>132</v>
      </c>
      <c r="D1863" s="74" t="str">
        <f t="shared" si="59"/>
        <v>jul/2016</v>
      </c>
      <c r="E1863" s="53">
        <v>42580</v>
      </c>
      <c r="F1863" s="75" t="s">
        <v>958</v>
      </c>
      <c r="G1863" s="72"/>
      <c r="H1863" s="49" t="s">
        <v>1380</v>
      </c>
      <c r="I1863" s="49" t="s">
        <v>110</v>
      </c>
      <c r="J1863" s="76">
        <v>-160.19</v>
      </c>
      <c r="K1863" s="83" t="str">
        <f>IFERROR(IFERROR(VLOOKUP(I1863,'DE-PARA'!B:D,3,0),VLOOKUP(I1863,'DE-PARA'!C:D,2,0)),"NÃO ENCONTRADO")</f>
        <v>Serviços</v>
      </c>
      <c r="L1863" s="50" t="str">
        <f>VLOOKUP(K1863,'Base -Receita-Despesa'!$B:$P,1,FALSE)</f>
        <v>Serviços</v>
      </c>
    </row>
    <row r="1864" spans="1:12" ht="15" customHeight="1" x14ac:dyDescent="0.3">
      <c r="A1864" s="82" t="str">
        <f t="shared" si="58"/>
        <v>2016</v>
      </c>
      <c r="B1864" s="72" t="s">
        <v>131</v>
      </c>
      <c r="C1864" s="73" t="s">
        <v>132</v>
      </c>
      <c r="D1864" s="74" t="str">
        <f t="shared" si="59"/>
        <v>jul/2016</v>
      </c>
      <c r="E1864" s="53">
        <v>42580</v>
      </c>
      <c r="F1864" s="75" t="s">
        <v>958</v>
      </c>
      <c r="G1864" s="72"/>
      <c r="H1864" s="49" t="s">
        <v>1381</v>
      </c>
      <c r="I1864" s="49" t="s">
        <v>110</v>
      </c>
      <c r="J1864" s="76">
        <v>-180.37</v>
      </c>
      <c r="K1864" s="83" t="str">
        <f>IFERROR(IFERROR(VLOOKUP(I1864,'DE-PARA'!B:D,3,0),VLOOKUP(I1864,'DE-PARA'!C:D,2,0)),"NÃO ENCONTRADO")</f>
        <v>Serviços</v>
      </c>
      <c r="L1864" s="50" t="str">
        <f>VLOOKUP(K1864,'Base -Receita-Despesa'!$B:$P,1,FALSE)</f>
        <v>Serviços</v>
      </c>
    </row>
    <row r="1865" spans="1:12" ht="15" customHeight="1" x14ac:dyDescent="0.3">
      <c r="A1865" s="82" t="str">
        <f t="shared" si="58"/>
        <v>2016</v>
      </c>
      <c r="B1865" s="72" t="s">
        <v>131</v>
      </c>
      <c r="C1865" s="73" t="s">
        <v>132</v>
      </c>
      <c r="D1865" s="74" t="str">
        <f t="shared" si="59"/>
        <v>jul/2016</v>
      </c>
      <c r="E1865" s="53">
        <v>42580</v>
      </c>
      <c r="F1865" s="75" t="s">
        <v>283</v>
      </c>
      <c r="G1865" s="72"/>
      <c r="H1865" s="49" t="s">
        <v>1382</v>
      </c>
      <c r="I1865" s="49" t="s">
        <v>191</v>
      </c>
      <c r="J1865" s="76">
        <v>-63.4</v>
      </c>
      <c r="K1865" s="83" t="str">
        <f>IFERROR(IFERROR(VLOOKUP(I1865,'DE-PARA'!B:D,3,0),VLOOKUP(I1865,'DE-PARA'!C:D,2,0)),"NÃO ENCONTRADO")</f>
        <v>Serviços</v>
      </c>
      <c r="L1865" s="50" t="str">
        <f>VLOOKUP(K1865,'Base -Receita-Despesa'!$B:$P,1,FALSE)</f>
        <v>Serviços</v>
      </c>
    </row>
    <row r="1866" spans="1:12" ht="15" customHeight="1" x14ac:dyDescent="0.3">
      <c r="A1866" s="82" t="str">
        <f t="shared" si="58"/>
        <v>2016</v>
      </c>
      <c r="B1866" s="72" t="s">
        <v>131</v>
      </c>
      <c r="C1866" s="73" t="s">
        <v>132</v>
      </c>
      <c r="D1866" s="74" t="str">
        <f t="shared" si="59"/>
        <v>jul/2016</v>
      </c>
      <c r="E1866" s="53">
        <v>42580</v>
      </c>
      <c r="F1866" s="75" t="s">
        <v>958</v>
      </c>
      <c r="G1866" s="72"/>
      <c r="H1866" s="49" t="s">
        <v>1383</v>
      </c>
      <c r="I1866" s="49" t="s">
        <v>171</v>
      </c>
      <c r="J1866" s="76">
        <v>-1224.32</v>
      </c>
      <c r="K1866" s="83" t="str">
        <f>IFERROR(IFERROR(VLOOKUP(I1866,'DE-PARA'!B:D,3,0),VLOOKUP(I1866,'DE-PARA'!C:D,2,0)),"NÃO ENCONTRADO")</f>
        <v>Serviços</v>
      </c>
      <c r="L1866" s="50" t="str">
        <f>VLOOKUP(K1866,'Base -Receita-Despesa'!$B:$P,1,FALSE)</f>
        <v>Serviços</v>
      </c>
    </row>
    <row r="1867" spans="1:12" ht="15" customHeight="1" x14ac:dyDescent="0.3">
      <c r="A1867" s="82" t="str">
        <f t="shared" si="58"/>
        <v>2016</v>
      </c>
      <c r="B1867" s="72" t="s">
        <v>131</v>
      </c>
      <c r="C1867" s="73" t="s">
        <v>132</v>
      </c>
      <c r="D1867" s="74" t="str">
        <f t="shared" si="59"/>
        <v>jul/2016</v>
      </c>
      <c r="E1867" s="53">
        <v>42580</v>
      </c>
      <c r="F1867" s="75" t="s">
        <v>283</v>
      </c>
      <c r="G1867" s="72"/>
      <c r="H1867" s="49" t="s">
        <v>1384</v>
      </c>
      <c r="I1867" s="49" t="s">
        <v>110</v>
      </c>
      <c r="J1867" s="76">
        <v>-52.15</v>
      </c>
      <c r="K1867" s="83" t="str">
        <f>IFERROR(IFERROR(VLOOKUP(I1867,'DE-PARA'!B:D,3,0),VLOOKUP(I1867,'DE-PARA'!C:D,2,0)),"NÃO ENCONTRADO")</f>
        <v>Serviços</v>
      </c>
      <c r="L1867" s="50" t="str">
        <f>VLOOKUP(K1867,'Base -Receita-Despesa'!$B:$P,1,FALSE)</f>
        <v>Serviços</v>
      </c>
    </row>
    <row r="1868" spans="1:12" ht="15" customHeight="1" x14ac:dyDescent="0.3">
      <c r="A1868" s="82" t="str">
        <f t="shared" si="58"/>
        <v>2016</v>
      </c>
      <c r="B1868" s="72" t="s">
        <v>131</v>
      </c>
      <c r="C1868" s="73" t="s">
        <v>132</v>
      </c>
      <c r="D1868" s="74" t="str">
        <f t="shared" si="59"/>
        <v>jul/2016</v>
      </c>
      <c r="E1868" s="53">
        <v>42580</v>
      </c>
      <c r="F1868" s="75" t="s">
        <v>958</v>
      </c>
      <c r="G1868" s="72"/>
      <c r="H1868" s="49" t="s">
        <v>1385</v>
      </c>
      <c r="I1868" s="49" t="s">
        <v>180</v>
      </c>
      <c r="J1868" s="76">
        <v>-2266.4899999999998</v>
      </c>
      <c r="K1868" s="83" t="str">
        <f>IFERROR(IFERROR(VLOOKUP(I1868,'DE-PARA'!B:D,3,0),VLOOKUP(I1868,'DE-PARA'!C:D,2,0)),"NÃO ENCONTRADO")</f>
        <v>Serviços</v>
      </c>
      <c r="L1868" s="50" t="str">
        <f>VLOOKUP(K1868,'Base -Receita-Despesa'!$B:$P,1,FALSE)</f>
        <v>Serviços</v>
      </c>
    </row>
    <row r="1869" spans="1:12" ht="15" customHeight="1" x14ac:dyDescent="0.3">
      <c r="A1869" s="82" t="str">
        <f t="shared" si="58"/>
        <v>2016</v>
      </c>
      <c r="B1869" s="72" t="s">
        <v>131</v>
      </c>
      <c r="C1869" s="73" t="s">
        <v>132</v>
      </c>
      <c r="D1869" s="74" t="str">
        <f t="shared" si="59"/>
        <v>jul/2016</v>
      </c>
      <c r="E1869" s="53">
        <v>42580</v>
      </c>
      <c r="F1869" s="75" t="s">
        <v>958</v>
      </c>
      <c r="G1869" s="72"/>
      <c r="H1869" s="49" t="s">
        <v>1386</v>
      </c>
      <c r="I1869" s="49" t="s">
        <v>110</v>
      </c>
      <c r="J1869" s="76">
        <v>-50.74</v>
      </c>
      <c r="K1869" s="83" t="str">
        <f>IFERROR(IFERROR(VLOOKUP(I1869,'DE-PARA'!B:D,3,0),VLOOKUP(I1869,'DE-PARA'!C:D,2,0)),"NÃO ENCONTRADO")</f>
        <v>Serviços</v>
      </c>
      <c r="L1869" s="50" t="str">
        <f>VLOOKUP(K1869,'Base -Receita-Despesa'!$B:$P,1,FALSE)</f>
        <v>Serviços</v>
      </c>
    </row>
    <row r="1870" spans="1:12" ht="15" customHeight="1" x14ac:dyDescent="0.3">
      <c r="A1870" s="82" t="str">
        <f t="shared" si="58"/>
        <v>2016</v>
      </c>
      <c r="B1870" s="72" t="s">
        <v>131</v>
      </c>
      <c r="C1870" s="73" t="s">
        <v>132</v>
      </c>
      <c r="D1870" s="74" t="str">
        <f t="shared" si="59"/>
        <v>jul/2016</v>
      </c>
      <c r="E1870" s="53">
        <v>42580</v>
      </c>
      <c r="F1870" s="75" t="s">
        <v>958</v>
      </c>
      <c r="G1870" s="72"/>
      <c r="H1870" s="49" t="s">
        <v>1387</v>
      </c>
      <c r="I1870" s="49" t="s">
        <v>180</v>
      </c>
      <c r="J1870" s="76">
        <v>-2346.83</v>
      </c>
      <c r="K1870" s="83" t="str">
        <f>IFERROR(IFERROR(VLOOKUP(I1870,'DE-PARA'!B:D,3,0),VLOOKUP(I1870,'DE-PARA'!C:D,2,0)),"NÃO ENCONTRADO")</f>
        <v>Serviços</v>
      </c>
      <c r="L1870" s="50" t="str">
        <f>VLOOKUP(K1870,'Base -Receita-Despesa'!$B:$P,1,FALSE)</f>
        <v>Serviços</v>
      </c>
    </row>
    <row r="1871" spans="1:12" ht="15" customHeight="1" x14ac:dyDescent="0.3">
      <c r="A1871" s="82" t="str">
        <f t="shared" si="58"/>
        <v>2016</v>
      </c>
      <c r="B1871" s="72" t="s">
        <v>131</v>
      </c>
      <c r="C1871" s="73" t="s">
        <v>132</v>
      </c>
      <c r="D1871" s="74" t="str">
        <f t="shared" si="59"/>
        <v>jul/2016</v>
      </c>
      <c r="E1871" s="53">
        <v>42580</v>
      </c>
      <c r="F1871" s="75" t="s">
        <v>958</v>
      </c>
      <c r="G1871" s="72"/>
      <c r="H1871" s="49" t="s">
        <v>1388</v>
      </c>
      <c r="I1871" s="49" t="s">
        <v>110</v>
      </c>
      <c r="J1871" s="76">
        <v>-38.11</v>
      </c>
      <c r="K1871" s="83" t="str">
        <f>IFERROR(IFERROR(VLOOKUP(I1871,'DE-PARA'!B:D,3,0),VLOOKUP(I1871,'DE-PARA'!C:D,2,0)),"NÃO ENCONTRADO")</f>
        <v>Serviços</v>
      </c>
      <c r="L1871" s="50" t="str">
        <f>VLOOKUP(K1871,'Base -Receita-Despesa'!$B:$P,1,FALSE)</f>
        <v>Serviços</v>
      </c>
    </row>
    <row r="1872" spans="1:12" ht="15" customHeight="1" x14ac:dyDescent="0.3">
      <c r="A1872" s="82" t="str">
        <f t="shared" si="58"/>
        <v>2016</v>
      </c>
      <c r="B1872" s="72" t="s">
        <v>131</v>
      </c>
      <c r="C1872" s="73" t="s">
        <v>132</v>
      </c>
      <c r="D1872" s="74" t="str">
        <f t="shared" si="59"/>
        <v>jul/2016</v>
      </c>
      <c r="E1872" s="53">
        <v>42580</v>
      </c>
      <c r="F1872" s="75" t="s">
        <v>958</v>
      </c>
      <c r="G1872" s="72"/>
      <c r="H1872" s="49" t="s">
        <v>1389</v>
      </c>
      <c r="I1872" s="49" t="s">
        <v>180</v>
      </c>
      <c r="J1872" s="76">
        <v>-2112.6799999999998</v>
      </c>
      <c r="K1872" s="83" t="str">
        <f>IFERROR(IFERROR(VLOOKUP(I1872,'DE-PARA'!B:D,3,0),VLOOKUP(I1872,'DE-PARA'!C:D,2,0)),"NÃO ENCONTRADO")</f>
        <v>Serviços</v>
      </c>
      <c r="L1872" s="50" t="str">
        <f>VLOOKUP(K1872,'Base -Receita-Despesa'!$B:$P,1,FALSE)</f>
        <v>Serviços</v>
      </c>
    </row>
    <row r="1873" spans="1:12" ht="15" customHeight="1" x14ac:dyDescent="0.3">
      <c r="A1873" s="82" t="str">
        <f t="shared" si="58"/>
        <v>2016</v>
      </c>
      <c r="B1873" s="72" t="s">
        <v>131</v>
      </c>
      <c r="C1873" s="73" t="s">
        <v>132</v>
      </c>
      <c r="D1873" s="74" t="str">
        <f t="shared" si="59"/>
        <v>jul/2016</v>
      </c>
      <c r="E1873" s="53">
        <v>42580</v>
      </c>
      <c r="F1873" s="75" t="s">
        <v>958</v>
      </c>
      <c r="G1873" s="72"/>
      <c r="H1873" s="49" t="s">
        <v>1390</v>
      </c>
      <c r="I1873" s="49" t="s">
        <v>138</v>
      </c>
      <c r="J1873" s="76">
        <v>-398.91</v>
      </c>
      <c r="K1873" s="83" t="str">
        <f>IFERROR(IFERROR(VLOOKUP(I1873,'DE-PARA'!B:D,3,0),VLOOKUP(I1873,'DE-PARA'!C:D,2,0)),"NÃO ENCONTRADO")</f>
        <v>Serviços</v>
      </c>
      <c r="L1873" s="50" t="str">
        <f>VLOOKUP(K1873,'Base -Receita-Despesa'!$B:$P,1,FALSE)</f>
        <v>Serviços</v>
      </c>
    </row>
    <row r="1874" spans="1:12" ht="15" customHeight="1" x14ac:dyDescent="0.3">
      <c r="A1874" s="82" t="str">
        <f t="shared" si="58"/>
        <v>2016</v>
      </c>
      <c r="B1874" s="72" t="s">
        <v>131</v>
      </c>
      <c r="C1874" s="73" t="s">
        <v>132</v>
      </c>
      <c r="D1874" s="74" t="str">
        <f t="shared" si="59"/>
        <v>jul/2016</v>
      </c>
      <c r="E1874" s="53">
        <v>42580</v>
      </c>
      <c r="F1874" s="75" t="s">
        <v>958</v>
      </c>
      <c r="G1874" s="72"/>
      <c r="H1874" s="49" t="s">
        <v>1391</v>
      </c>
      <c r="I1874" s="49" t="s">
        <v>138</v>
      </c>
      <c r="J1874" s="76">
        <v>-25.95</v>
      </c>
      <c r="K1874" s="83" t="str">
        <f>IFERROR(IFERROR(VLOOKUP(I1874,'DE-PARA'!B:D,3,0),VLOOKUP(I1874,'DE-PARA'!C:D,2,0)),"NÃO ENCONTRADO")</f>
        <v>Serviços</v>
      </c>
      <c r="L1874" s="50" t="str">
        <f>VLOOKUP(K1874,'Base -Receita-Despesa'!$B:$P,1,FALSE)</f>
        <v>Serviços</v>
      </c>
    </row>
    <row r="1875" spans="1:12" ht="15" customHeight="1" x14ac:dyDescent="0.3">
      <c r="A1875" s="82" t="str">
        <f t="shared" si="58"/>
        <v>2016</v>
      </c>
      <c r="B1875" s="72" t="s">
        <v>131</v>
      </c>
      <c r="C1875" s="73" t="s">
        <v>132</v>
      </c>
      <c r="D1875" s="74" t="str">
        <f t="shared" si="59"/>
        <v>jul/2016</v>
      </c>
      <c r="E1875" s="53">
        <v>42580</v>
      </c>
      <c r="F1875" s="75" t="s">
        <v>958</v>
      </c>
      <c r="G1875" s="72"/>
      <c r="H1875" s="49" t="s">
        <v>1392</v>
      </c>
      <c r="I1875" s="49" t="s">
        <v>113</v>
      </c>
      <c r="J1875" s="76">
        <v>-5652.03</v>
      </c>
      <c r="K1875" s="83" t="str">
        <f>IFERROR(IFERROR(VLOOKUP(I1875,'DE-PARA'!B:D,3,0),VLOOKUP(I1875,'DE-PARA'!C:D,2,0)),"NÃO ENCONTRADO")</f>
        <v>Serviços</v>
      </c>
      <c r="L1875" s="50" t="str">
        <f>VLOOKUP(K1875,'Base -Receita-Despesa'!$B:$P,1,FALSE)</f>
        <v>Serviços</v>
      </c>
    </row>
    <row r="1876" spans="1:12" ht="15" customHeight="1" x14ac:dyDescent="0.3">
      <c r="A1876" s="82" t="str">
        <f t="shared" si="58"/>
        <v>2016</v>
      </c>
      <c r="B1876" s="72" t="s">
        <v>131</v>
      </c>
      <c r="C1876" s="73" t="s">
        <v>132</v>
      </c>
      <c r="D1876" s="74" t="str">
        <f t="shared" si="59"/>
        <v>jul/2016</v>
      </c>
      <c r="E1876" s="53">
        <v>42580</v>
      </c>
      <c r="F1876" s="75" t="s">
        <v>1197</v>
      </c>
      <c r="G1876" s="72"/>
      <c r="H1876" s="49" t="s">
        <v>1393</v>
      </c>
      <c r="I1876" s="49" t="s">
        <v>191</v>
      </c>
      <c r="J1876" s="76">
        <v>-194.88</v>
      </c>
      <c r="K1876" s="83" t="str">
        <f>IFERROR(IFERROR(VLOOKUP(I1876,'DE-PARA'!B:D,3,0),VLOOKUP(I1876,'DE-PARA'!C:D,2,0)),"NÃO ENCONTRADO")</f>
        <v>Serviços</v>
      </c>
      <c r="L1876" s="50" t="str">
        <f>VLOOKUP(K1876,'Base -Receita-Despesa'!$B:$P,1,FALSE)</f>
        <v>Serviços</v>
      </c>
    </row>
    <row r="1877" spans="1:12" ht="15" customHeight="1" x14ac:dyDescent="0.3">
      <c r="A1877" s="82" t="str">
        <f t="shared" si="58"/>
        <v>2016</v>
      </c>
      <c r="B1877" s="72" t="s">
        <v>131</v>
      </c>
      <c r="C1877" s="73" t="s">
        <v>132</v>
      </c>
      <c r="D1877" s="74" t="str">
        <f t="shared" si="59"/>
        <v>jul/2016</v>
      </c>
      <c r="E1877" s="53">
        <v>42580</v>
      </c>
      <c r="F1877" s="75" t="s">
        <v>958</v>
      </c>
      <c r="G1877" s="72"/>
      <c r="H1877" s="49" t="s">
        <v>1394</v>
      </c>
      <c r="I1877" s="49" t="s">
        <v>191</v>
      </c>
      <c r="J1877" s="76">
        <v>-24.43</v>
      </c>
      <c r="K1877" s="83" t="str">
        <f>IFERROR(IFERROR(VLOOKUP(I1877,'DE-PARA'!B:D,3,0),VLOOKUP(I1877,'DE-PARA'!C:D,2,0)),"NÃO ENCONTRADO")</f>
        <v>Serviços</v>
      </c>
      <c r="L1877" s="50" t="str">
        <f>VLOOKUP(K1877,'Base -Receita-Despesa'!$B:$P,1,FALSE)</f>
        <v>Serviços</v>
      </c>
    </row>
    <row r="1878" spans="1:12" ht="15" customHeight="1" x14ac:dyDescent="0.3">
      <c r="A1878" s="82" t="str">
        <f t="shared" si="58"/>
        <v>2016</v>
      </c>
      <c r="B1878" s="72" t="s">
        <v>131</v>
      </c>
      <c r="C1878" s="73" t="s">
        <v>132</v>
      </c>
      <c r="D1878" s="74" t="str">
        <f t="shared" si="59"/>
        <v>jul/2016</v>
      </c>
      <c r="E1878" s="53">
        <v>42580</v>
      </c>
      <c r="F1878" s="75" t="s">
        <v>1395</v>
      </c>
      <c r="G1878" s="72"/>
      <c r="H1878" s="49" t="s">
        <v>282</v>
      </c>
      <c r="I1878" s="49" t="s">
        <v>110</v>
      </c>
      <c r="J1878" s="76">
        <v>-810.47</v>
      </c>
      <c r="K1878" s="83" t="str">
        <f>IFERROR(IFERROR(VLOOKUP(I1878,'DE-PARA'!B:D,3,0),VLOOKUP(I1878,'DE-PARA'!C:D,2,0)),"NÃO ENCONTRADO")</f>
        <v>Serviços</v>
      </c>
      <c r="L1878" s="50" t="str">
        <f>VLOOKUP(K1878,'Base -Receita-Despesa'!$B:$P,1,FALSE)</f>
        <v>Serviços</v>
      </c>
    </row>
    <row r="1879" spans="1:12" ht="15" customHeight="1" x14ac:dyDescent="0.3">
      <c r="A1879" s="82" t="str">
        <f t="shared" si="58"/>
        <v>2016</v>
      </c>
      <c r="B1879" s="72" t="s">
        <v>131</v>
      </c>
      <c r="C1879" s="73" t="s">
        <v>132</v>
      </c>
      <c r="D1879" s="74" t="str">
        <f t="shared" si="59"/>
        <v>jul/2016</v>
      </c>
      <c r="E1879" s="53">
        <v>42580</v>
      </c>
      <c r="F1879" s="75" t="s">
        <v>123</v>
      </c>
      <c r="G1879" s="72"/>
      <c r="H1879" s="49" t="s">
        <v>1080</v>
      </c>
      <c r="I1879" s="49" t="s">
        <v>124</v>
      </c>
      <c r="J1879" s="76">
        <v>-3474.93</v>
      </c>
      <c r="K1879" s="83" t="str">
        <f>IFERROR(IFERROR(VLOOKUP(I1879,'DE-PARA'!B:D,3,0),VLOOKUP(I1879,'DE-PARA'!C:D,2,0)),"NÃO ENCONTRADO")</f>
        <v>Rescisões Trabalhistas</v>
      </c>
      <c r="L1879" s="50" t="str">
        <f>VLOOKUP(K1879,'Base -Receita-Despesa'!$B:$P,1,FALSE)</f>
        <v>Rescisões Trabalhistas</v>
      </c>
    </row>
    <row r="1880" spans="1:12" ht="15" customHeight="1" x14ac:dyDescent="0.3">
      <c r="A1880" s="82" t="str">
        <f t="shared" si="58"/>
        <v>2016</v>
      </c>
      <c r="B1880" s="72" t="s">
        <v>131</v>
      </c>
      <c r="C1880" s="73" t="s">
        <v>132</v>
      </c>
      <c r="D1880" s="74" t="str">
        <f t="shared" si="59"/>
        <v>jul/2016</v>
      </c>
      <c r="E1880" s="53">
        <v>42580</v>
      </c>
      <c r="F1880" s="75" t="s">
        <v>125</v>
      </c>
      <c r="G1880" s="72"/>
      <c r="H1880" s="49" t="s">
        <v>1396</v>
      </c>
      <c r="I1880" s="49" t="s">
        <v>127</v>
      </c>
      <c r="J1880" s="76">
        <v>-38316.639999999999</v>
      </c>
      <c r="K1880" s="83" t="str">
        <f>IFERROR(IFERROR(VLOOKUP(I1880,'DE-PARA'!B:D,3,0),VLOOKUP(I1880,'DE-PARA'!C:D,2,0)),"NÃO ENCONTRADO")</f>
        <v>Pessoal</v>
      </c>
      <c r="L1880" s="50" t="str">
        <f>VLOOKUP(K1880,'Base -Receita-Despesa'!$B:$P,1,FALSE)</f>
        <v>Pessoal</v>
      </c>
    </row>
    <row r="1881" spans="1:12" ht="15" customHeight="1" x14ac:dyDescent="0.3">
      <c r="A1881" s="82" t="str">
        <f t="shared" si="58"/>
        <v>2016</v>
      </c>
      <c r="B1881" s="72" t="s">
        <v>131</v>
      </c>
      <c r="C1881" s="73" t="s">
        <v>132</v>
      </c>
      <c r="D1881" s="74" t="str">
        <f t="shared" si="59"/>
        <v>jul/2016</v>
      </c>
      <c r="E1881" s="53">
        <v>42580</v>
      </c>
      <c r="F1881" s="75" t="s">
        <v>1054</v>
      </c>
      <c r="G1881" s="72"/>
      <c r="H1881" s="49" t="s">
        <v>1055</v>
      </c>
      <c r="I1881" s="49" t="s">
        <v>1056</v>
      </c>
      <c r="J1881" s="76">
        <v>38853.599999999999</v>
      </c>
      <c r="K1881" s="83" t="str">
        <f>IFERROR(IFERROR(VLOOKUP(I1881,'DE-PARA'!B:D,3,0),VLOOKUP(I1881,'DE-PARA'!C:D,2,0)),"NÃO ENCONTRADO")</f>
        <v>ENTRADA CONTA APLICAÇÃO (+)</v>
      </c>
      <c r="L1881" s="50" t="str">
        <f>VLOOKUP(K1881,'Base -Receita-Despesa'!$B:$P,1,FALSE)</f>
        <v>ENTRADA CONTA APLICAÇÃO (+)</v>
      </c>
    </row>
    <row r="1882" spans="1:12" ht="15" customHeight="1" x14ac:dyDescent="0.3">
      <c r="A1882" s="82" t="str">
        <f t="shared" si="58"/>
        <v>2016</v>
      </c>
      <c r="B1882" s="72" t="s">
        <v>1039</v>
      </c>
      <c r="C1882" s="73" t="s">
        <v>132</v>
      </c>
      <c r="D1882" s="74" t="str">
        <f t="shared" si="59"/>
        <v>jul/2016</v>
      </c>
      <c r="E1882" s="53">
        <v>42582</v>
      </c>
      <c r="F1882" s="75" t="s">
        <v>239</v>
      </c>
      <c r="G1882" s="72"/>
      <c r="H1882" s="49" t="s">
        <v>1397</v>
      </c>
      <c r="I1882" s="49" t="s">
        <v>240</v>
      </c>
      <c r="J1882" s="76">
        <v>2.67</v>
      </c>
      <c r="K1882" s="83" t="str">
        <f>IFERROR(IFERROR(VLOOKUP(I1882,'DE-PARA'!B:D,3,0),VLOOKUP(I1882,'DE-PARA'!C:D,2,0)),"NÃO ENCONTRADO")</f>
        <v>Rendimentos sobre Aplicações Financeiras</v>
      </c>
      <c r="L1882" s="50" t="str">
        <f>VLOOKUP(K1882,'Base -Receita-Despesa'!$B:$P,1,FALSE)</f>
        <v>Rendimentos sobre Aplicações Financeiras</v>
      </c>
    </row>
    <row r="1883" spans="1:12" ht="15" customHeight="1" x14ac:dyDescent="0.3">
      <c r="A1883" s="82" t="str">
        <f t="shared" si="58"/>
        <v>2016</v>
      </c>
      <c r="B1883" s="72" t="s">
        <v>238</v>
      </c>
      <c r="C1883" s="73" t="s">
        <v>132</v>
      </c>
      <c r="D1883" s="74" t="str">
        <f t="shared" si="59"/>
        <v>jul/2016</v>
      </c>
      <c r="E1883" s="53">
        <v>42582</v>
      </c>
      <c r="F1883" s="75" t="s">
        <v>239</v>
      </c>
      <c r="G1883" s="72"/>
      <c r="H1883" s="49" t="s">
        <v>1397</v>
      </c>
      <c r="I1883" s="49" t="s">
        <v>240</v>
      </c>
      <c r="J1883" s="76">
        <v>-318.56999999999994</v>
      </c>
      <c r="K1883" s="83" t="str">
        <f>IFERROR(IFERROR(VLOOKUP(I1883,'DE-PARA'!B:D,3,0),VLOOKUP(I1883,'DE-PARA'!C:D,2,0)),"NÃO ENCONTRADO")</f>
        <v>Rendimentos sobre Aplicações Financeiras</v>
      </c>
      <c r="L1883" s="50" t="str">
        <f>VLOOKUP(K1883,'Base -Receita-Despesa'!$B:$P,1,FALSE)</f>
        <v>Rendimentos sobre Aplicações Financeiras</v>
      </c>
    </row>
    <row r="1884" spans="1:12" ht="15" customHeight="1" x14ac:dyDescent="0.3">
      <c r="A1884" s="82" t="str">
        <f t="shared" si="58"/>
        <v>2016</v>
      </c>
      <c r="B1884" s="72" t="s">
        <v>1037</v>
      </c>
      <c r="C1884" s="73" t="s">
        <v>132</v>
      </c>
      <c r="D1884" s="74" t="str">
        <f t="shared" si="59"/>
        <v>jul/2016</v>
      </c>
      <c r="E1884" s="53">
        <v>42582</v>
      </c>
      <c r="F1884" s="75" t="s">
        <v>239</v>
      </c>
      <c r="G1884" s="72"/>
      <c r="H1884" s="49" t="s">
        <v>1397</v>
      </c>
      <c r="I1884" s="49" t="s">
        <v>240</v>
      </c>
      <c r="J1884" s="76">
        <v>9.11</v>
      </c>
      <c r="K1884" s="83" t="str">
        <f>IFERROR(IFERROR(VLOOKUP(I1884,'DE-PARA'!B:D,3,0),VLOOKUP(I1884,'DE-PARA'!C:D,2,0)),"NÃO ENCONTRADO")</f>
        <v>Rendimentos sobre Aplicações Financeiras</v>
      </c>
      <c r="L1884" s="50" t="str">
        <f>VLOOKUP(K1884,'Base -Receita-Despesa'!$B:$P,1,FALSE)</f>
        <v>Rendimentos sobre Aplicações Financeiras</v>
      </c>
    </row>
    <row r="1885" spans="1:12" ht="15" customHeight="1" x14ac:dyDescent="0.3">
      <c r="A1885" s="82" t="str">
        <f t="shared" si="58"/>
        <v>2016</v>
      </c>
      <c r="B1885" s="72" t="s">
        <v>131</v>
      </c>
      <c r="C1885" s="73" t="s">
        <v>132</v>
      </c>
      <c r="D1885" s="74" t="str">
        <f t="shared" si="59"/>
        <v>ago/2016</v>
      </c>
      <c r="E1885" s="53">
        <v>42583</v>
      </c>
      <c r="F1885" s="75" t="s">
        <v>122</v>
      </c>
      <c r="G1885" s="72"/>
      <c r="H1885" s="49" t="s">
        <v>365</v>
      </c>
      <c r="I1885" s="49" t="s">
        <v>124</v>
      </c>
      <c r="J1885" s="76">
        <v>-3000.26</v>
      </c>
      <c r="K1885" s="83" t="str">
        <f>IFERROR(IFERROR(VLOOKUP(I1885,'DE-PARA'!B:D,3,0),VLOOKUP(I1885,'DE-PARA'!C:D,2,0)),"NÃO ENCONTRADO")</f>
        <v>Rescisões Trabalhistas</v>
      </c>
      <c r="L1885" s="50" t="str">
        <f>VLOOKUP(K1885,'Base -Receita-Despesa'!$B:$P,1,FALSE)</f>
        <v>Rescisões Trabalhistas</v>
      </c>
    </row>
    <row r="1886" spans="1:12" ht="15" customHeight="1" x14ac:dyDescent="0.3">
      <c r="A1886" s="82" t="str">
        <f t="shared" si="58"/>
        <v>2016</v>
      </c>
      <c r="B1886" s="72" t="s">
        <v>131</v>
      </c>
      <c r="C1886" s="73" t="s">
        <v>132</v>
      </c>
      <c r="D1886" s="74" t="str">
        <f t="shared" si="59"/>
        <v>ago/2016</v>
      </c>
      <c r="E1886" s="53">
        <v>42583</v>
      </c>
      <c r="F1886" s="75" t="s">
        <v>155</v>
      </c>
      <c r="G1886" s="72"/>
      <c r="H1886" s="49" t="s">
        <v>452</v>
      </c>
      <c r="I1886" s="49" t="s">
        <v>157</v>
      </c>
      <c r="J1886" s="76">
        <v>-6294.63</v>
      </c>
      <c r="K1886" s="83" t="str">
        <f>IFERROR(IFERROR(VLOOKUP(I1886,'DE-PARA'!B:D,3,0),VLOOKUP(I1886,'DE-PARA'!C:D,2,0)),"NÃO ENCONTRADO")</f>
        <v>Concessionárias (água, luz e telefone)</v>
      </c>
      <c r="L1886" s="50" t="str">
        <f>VLOOKUP(K1886,'Base -Receita-Despesa'!$B:$P,1,FALSE)</f>
        <v>Concessionárias (água, luz e telefone)</v>
      </c>
    </row>
    <row r="1887" spans="1:12" ht="15" customHeight="1" x14ac:dyDescent="0.3">
      <c r="A1887" s="82" t="str">
        <f t="shared" si="58"/>
        <v>2016</v>
      </c>
      <c r="B1887" s="72" t="s">
        <v>131</v>
      </c>
      <c r="C1887" s="73" t="s">
        <v>132</v>
      </c>
      <c r="D1887" s="74" t="str">
        <f t="shared" si="59"/>
        <v>ago/2016</v>
      </c>
      <c r="E1887" s="53">
        <v>42583</v>
      </c>
      <c r="F1887" s="75" t="s">
        <v>1400</v>
      </c>
      <c r="G1887" s="72"/>
      <c r="H1887" s="49" t="s">
        <v>140</v>
      </c>
      <c r="I1887" s="49" t="s">
        <v>138</v>
      </c>
      <c r="J1887" s="76">
        <v>-561.6</v>
      </c>
      <c r="K1887" s="83" t="str">
        <f>IFERROR(IFERROR(VLOOKUP(I1887,'DE-PARA'!B:D,3,0),VLOOKUP(I1887,'DE-PARA'!C:D,2,0)),"NÃO ENCONTRADO")</f>
        <v>Serviços</v>
      </c>
      <c r="L1887" s="50" t="str">
        <f>VLOOKUP(K1887,'Base -Receita-Despesa'!$B:$P,1,FALSE)</f>
        <v>Serviços</v>
      </c>
    </row>
    <row r="1888" spans="1:12" ht="15" customHeight="1" x14ac:dyDescent="0.3">
      <c r="A1888" s="82" t="str">
        <f t="shared" si="58"/>
        <v>2016</v>
      </c>
      <c r="B1888" s="72" t="s">
        <v>131</v>
      </c>
      <c r="C1888" s="73" t="s">
        <v>132</v>
      </c>
      <c r="D1888" s="74" t="str">
        <f t="shared" si="59"/>
        <v>ago/2016</v>
      </c>
      <c r="E1888" s="53">
        <v>42583</v>
      </c>
      <c r="F1888" s="75" t="s">
        <v>1401</v>
      </c>
      <c r="G1888" s="72"/>
      <c r="H1888" s="49" t="s">
        <v>1250</v>
      </c>
      <c r="I1888" s="49" t="s">
        <v>153</v>
      </c>
      <c r="J1888" s="76">
        <v>-2000</v>
      </c>
      <c r="K1888" s="83" t="str">
        <f>IFERROR(IFERROR(VLOOKUP(I1888,'DE-PARA'!B:D,3,0),VLOOKUP(I1888,'DE-PARA'!C:D,2,0)),"NÃO ENCONTRADO")</f>
        <v>Outras Saídas</v>
      </c>
      <c r="L1888" s="50" t="str">
        <f>VLOOKUP(K1888,'Base -Receita-Despesa'!$B:$P,1,FALSE)</f>
        <v>Outras Saídas</v>
      </c>
    </row>
    <row r="1889" spans="1:12" ht="15" customHeight="1" x14ac:dyDescent="0.3">
      <c r="A1889" s="82" t="str">
        <f t="shared" si="58"/>
        <v>2016</v>
      </c>
      <c r="B1889" s="72" t="s">
        <v>131</v>
      </c>
      <c r="C1889" s="73" t="s">
        <v>132</v>
      </c>
      <c r="D1889" s="74" t="str">
        <f t="shared" si="59"/>
        <v>ago/2016</v>
      </c>
      <c r="E1889" s="53">
        <v>42583</v>
      </c>
      <c r="F1889" s="75" t="s">
        <v>142</v>
      </c>
      <c r="G1889" s="72"/>
      <c r="H1889" s="49" t="s">
        <v>505</v>
      </c>
      <c r="I1889" s="49" t="s">
        <v>144</v>
      </c>
      <c r="J1889" s="76">
        <v>-1346.96</v>
      </c>
      <c r="K1889" s="83" t="str">
        <f>IFERROR(IFERROR(VLOOKUP(I1889,'DE-PARA'!B:D,3,0),VLOOKUP(I1889,'DE-PARA'!C:D,2,0)),"NÃO ENCONTRADO")</f>
        <v>Concessionárias (água, luz e telefone)</v>
      </c>
      <c r="L1889" s="50" t="str">
        <f>VLOOKUP(K1889,'Base -Receita-Despesa'!$B:$P,1,FALSE)</f>
        <v>Concessionárias (água, luz e telefone)</v>
      </c>
    </row>
    <row r="1890" spans="1:12" ht="15" customHeight="1" x14ac:dyDescent="0.3">
      <c r="A1890" s="82" t="str">
        <f t="shared" si="58"/>
        <v>2016</v>
      </c>
      <c r="B1890" s="72" t="s">
        <v>131</v>
      </c>
      <c r="C1890" s="73" t="s">
        <v>132</v>
      </c>
      <c r="D1890" s="74" t="str">
        <f t="shared" si="59"/>
        <v>ago/2016</v>
      </c>
      <c r="E1890" s="53">
        <v>42583</v>
      </c>
      <c r="F1890" s="75" t="s">
        <v>1054</v>
      </c>
      <c r="G1890" s="72"/>
      <c r="H1890" s="49" t="s">
        <v>1055</v>
      </c>
      <c r="I1890" s="49" t="s">
        <v>1056</v>
      </c>
      <c r="J1890" s="76">
        <v>14600.96</v>
      </c>
      <c r="K1890" s="83" t="str">
        <f>IFERROR(IFERROR(VLOOKUP(I1890,'DE-PARA'!B:D,3,0),VLOOKUP(I1890,'DE-PARA'!C:D,2,0)),"NÃO ENCONTRADO")</f>
        <v>ENTRADA CONTA APLICAÇÃO (+)</v>
      </c>
      <c r="L1890" s="50" t="str">
        <f>VLOOKUP(K1890,'Base -Receita-Despesa'!$B:$P,1,FALSE)</f>
        <v>ENTRADA CONTA APLICAÇÃO (+)</v>
      </c>
    </row>
    <row r="1891" spans="1:12" ht="15" customHeight="1" x14ac:dyDescent="0.3">
      <c r="A1891" s="82" t="str">
        <f t="shared" si="58"/>
        <v>2016</v>
      </c>
      <c r="B1891" s="72" t="s">
        <v>131</v>
      </c>
      <c r="C1891" s="73" t="s">
        <v>132</v>
      </c>
      <c r="D1891" s="74" t="str">
        <f t="shared" si="59"/>
        <v>ago/2016</v>
      </c>
      <c r="E1891" s="53">
        <v>42583</v>
      </c>
      <c r="F1891" s="75" t="s">
        <v>199</v>
      </c>
      <c r="G1891" s="72"/>
      <c r="H1891" s="49" t="s">
        <v>383</v>
      </c>
      <c r="I1891" s="49" t="s">
        <v>192</v>
      </c>
      <c r="J1891" s="76">
        <v>-1217.51</v>
      </c>
      <c r="K1891" s="83" t="str">
        <f>IFERROR(IFERROR(VLOOKUP(I1891,'DE-PARA'!B:D,3,0),VLOOKUP(I1891,'DE-PARA'!C:D,2,0)),"NÃO ENCONTRADO")</f>
        <v>Materiais</v>
      </c>
      <c r="L1891" s="50" t="str">
        <f>VLOOKUP(K1891,'Base -Receita-Despesa'!$B:$P,1,FALSE)</f>
        <v>Materiais</v>
      </c>
    </row>
    <row r="1892" spans="1:12" ht="15" customHeight="1" x14ac:dyDescent="0.3">
      <c r="A1892" s="82" t="str">
        <f t="shared" si="58"/>
        <v>2016</v>
      </c>
      <c r="B1892" s="72" t="s">
        <v>131</v>
      </c>
      <c r="C1892" s="73" t="s">
        <v>132</v>
      </c>
      <c r="D1892" s="74" t="str">
        <f t="shared" si="59"/>
        <v>ago/2016</v>
      </c>
      <c r="E1892" s="53">
        <v>42583</v>
      </c>
      <c r="F1892" s="75" t="s">
        <v>1449</v>
      </c>
      <c r="G1892" s="72"/>
      <c r="H1892" s="49" t="s">
        <v>187</v>
      </c>
      <c r="I1892" s="49" t="s">
        <v>159</v>
      </c>
      <c r="J1892" s="76">
        <v>-180</v>
      </c>
      <c r="K1892" s="83" t="str">
        <f>IFERROR(IFERROR(VLOOKUP(I1892,'DE-PARA'!B:D,3,0),VLOOKUP(I1892,'DE-PARA'!C:D,2,0)),"NÃO ENCONTRADO")</f>
        <v>Materiais</v>
      </c>
      <c r="L1892" s="50" t="str">
        <f>VLOOKUP(K1892,'Base -Receita-Despesa'!$B:$P,1,FALSE)</f>
        <v>Materiais</v>
      </c>
    </row>
    <row r="1893" spans="1:12" ht="15" customHeight="1" x14ac:dyDescent="0.3">
      <c r="A1893" s="82" t="str">
        <f t="shared" si="58"/>
        <v>2016</v>
      </c>
      <c r="B1893" s="72" t="s">
        <v>131</v>
      </c>
      <c r="C1893" s="73" t="s">
        <v>132</v>
      </c>
      <c r="D1893" s="74" t="str">
        <f t="shared" si="59"/>
        <v>ago/2016</v>
      </c>
      <c r="E1893" s="53">
        <v>42584</v>
      </c>
      <c r="F1893" s="75" t="s">
        <v>1254</v>
      </c>
      <c r="G1893" s="72"/>
      <c r="H1893" s="49" t="s">
        <v>328</v>
      </c>
      <c r="I1893" s="49" t="s">
        <v>159</v>
      </c>
      <c r="J1893" s="76">
        <v>-697</v>
      </c>
      <c r="K1893" s="83" t="str">
        <f>IFERROR(IFERROR(VLOOKUP(I1893,'DE-PARA'!B:D,3,0),VLOOKUP(I1893,'DE-PARA'!C:D,2,0)),"NÃO ENCONTRADO")</f>
        <v>Materiais</v>
      </c>
      <c r="L1893" s="50" t="str">
        <f>VLOOKUP(K1893,'Base -Receita-Despesa'!$B:$P,1,FALSE)</f>
        <v>Materiais</v>
      </c>
    </row>
    <row r="1894" spans="1:12" ht="15" customHeight="1" x14ac:dyDescent="0.3">
      <c r="A1894" s="82" t="str">
        <f t="shared" si="58"/>
        <v>2016</v>
      </c>
      <c r="B1894" s="72" t="s">
        <v>131</v>
      </c>
      <c r="C1894" s="73" t="s">
        <v>132</v>
      </c>
      <c r="D1894" s="74" t="str">
        <f t="shared" si="59"/>
        <v>ago/2016</v>
      </c>
      <c r="E1894" s="53">
        <v>42584</v>
      </c>
      <c r="F1894" s="75" t="s">
        <v>1255</v>
      </c>
      <c r="G1894" s="72"/>
      <c r="H1894" s="49" t="s">
        <v>328</v>
      </c>
      <c r="I1894" s="49" t="s">
        <v>159</v>
      </c>
      <c r="J1894" s="76">
        <v>-1612.91</v>
      </c>
      <c r="K1894" s="83" t="str">
        <f>IFERROR(IFERROR(VLOOKUP(I1894,'DE-PARA'!B:D,3,0),VLOOKUP(I1894,'DE-PARA'!C:D,2,0)),"NÃO ENCONTRADO")</f>
        <v>Materiais</v>
      </c>
      <c r="L1894" s="50" t="str">
        <f>VLOOKUP(K1894,'Base -Receita-Despesa'!$B:$P,1,FALSE)</f>
        <v>Materiais</v>
      </c>
    </row>
    <row r="1895" spans="1:12" ht="15" customHeight="1" x14ac:dyDescent="0.3">
      <c r="A1895" s="82" t="str">
        <f t="shared" si="58"/>
        <v>2016</v>
      </c>
      <c r="B1895" s="72" t="s">
        <v>131</v>
      </c>
      <c r="C1895" s="73" t="s">
        <v>132</v>
      </c>
      <c r="D1895" s="74" t="str">
        <f t="shared" si="59"/>
        <v>ago/2016</v>
      </c>
      <c r="E1895" s="53">
        <v>42584</v>
      </c>
      <c r="F1895" s="75" t="s">
        <v>1402</v>
      </c>
      <c r="G1895" s="72"/>
      <c r="H1895" s="49" t="s">
        <v>235</v>
      </c>
      <c r="I1895" s="49" t="s">
        <v>204</v>
      </c>
      <c r="J1895" s="76">
        <v>-2513.7399999999998</v>
      </c>
      <c r="K1895" s="83" t="str">
        <f>IFERROR(IFERROR(VLOOKUP(I1895,'DE-PARA'!B:D,3,0),VLOOKUP(I1895,'DE-PARA'!C:D,2,0)),"NÃO ENCONTRADO")</f>
        <v>Serviços</v>
      </c>
      <c r="L1895" s="50" t="str">
        <f>VLOOKUP(K1895,'Base -Receita-Despesa'!$B:$P,1,FALSE)</f>
        <v>Serviços</v>
      </c>
    </row>
    <row r="1896" spans="1:12" ht="15" customHeight="1" x14ac:dyDescent="0.3">
      <c r="A1896" s="82" t="str">
        <f t="shared" si="58"/>
        <v>2016</v>
      </c>
      <c r="B1896" s="72" t="s">
        <v>131</v>
      </c>
      <c r="C1896" s="73" t="s">
        <v>132</v>
      </c>
      <c r="D1896" s="74" t="str">
        <f t="shared" si="59"/>
        <v>ago/2016</v>
      </c>
      <c r="E1896" s="53">
        <v>42584</v>
      </c>
      <c r="F1896" s="75" t="s">
        <v>1403</v>
      </c>
      <c r="G1896" s="72"/>
      <c r="H1896" s="49" t="s">
        <v>1404</v>
      </c>
      <c r="I1896" s="49" t="s">
        <v>231</v>
      </c>
      <c r="J1896" s="76">
        <v>-2580</v>
      </c>
      <c r="K1896" s="83" t="str">
        <f>IFERROR(IFERROR(VLOOKUP(I1896,'DE-PARA'!B:D,3,0),VLOOKUP(I1896,'DE-PARA'!C:D,2,0)),"NÃO ENCONTRADO")</f>
        <v>Serviços</v>
      </c>
      <c r="L1896" s="50" t="str">
        <f>VLOOKUP(K1896,'Base -Receita-Despesa'!$B:$P,1,FALSE)</f>
        <v>Serviços</v>
      </c>
    </row>
    <row r="1897" spans="1:12" ht="15" customHeight="1" x14ac:dyDescent="0.3">
      <c r="A1897" s="82" t="str">
        <f t="shared" si="58"/>
        <v>2016</v>
      </c>
      <c r="B1897" s="72" t="s">
        <v>131</v>
      </c>
      <c r="C1897" s="73" t="s">
        <v>132</v>
      </c>
      <c r="D1897" s="74" t="str">
        <f t="shared" si="59"/>
        <v>ago/2016</v>
      </c>
      <c r="E1897" s="53">
        <v>42584</v>
      </c>
      <c r="F1897" s="75" t="s">
        <v>1405</v>
      </c>
      <c r="G1897" s="72"/>
      <c r="H1897" s="49" t="s">
        <v>183</v>
      </c>
      <c r="I1897" s="49" t="s">
        <v>159</v>
      </c>
      <c r="J1897" s="76">
        <v>-1134.5</v>
      </c>
      <c r="K1897" s="83" t="str">
        <f>IFERROR(IFERROR(VLOOKUP(I1897,'DE-PARA'!B:D,3,0),VLOOKUP(I1897,'DE-PARA'!C:D,2,0)),"NÃO ENCONTRADO")</f>
        <v>Materiais</v>
      </c>
      <c r="L1897" s="50" t="str">
        <f>VLOOKUP(K1897,'Base -Receita-Despesa'!$B:$P,1,FALSE)</f>
        <v>Materiais</v>
      </c>
    </row>
    <row r="1898" spans="1:12" ht="15" customHeight="1" x14ac:dyDescent="0.3">
      <c r="A1898" s="82" t="str">
        <f t="shared" si="58"/>
        <v>2016</v>
      </c>
      <c r="B1898" s="72" t="s">
        <v>131</v>
      </c>
      <c r="C1898" s="73" t="s">
        <v>132</v>
      </c>
      <c r="D1898" s="74" t="str">
        <f t="shared" si="59"/>
        <v>ago/2016</v>
      </c>
      <c r="E1898" s="53">
        <v>42584</v>
      </c>
      <c r="F1898" s="75" t="s">
        <v>1054</v>
      </c>
      <c r="G1898" s="72"/>
      <c r="H1898" s="49" t="s">
        <v>1055</v>
      </c>
      <c r="I1898" s="49" t="s">
        <v>1056</v>
      </c>
      <c r="J1898" s="76">
        <v>8549.2199999999993</v>
      </c>
      <c r="K1898" s="83" t="str">
        <f>IFERROR(IFERROR(VLOOKUP(I1898,'DE-PARA'!B:D,3,0),VLOOKUP(I1898,'DE-PARA'!C:D,2,0)),"NÃO ENCONTRADO")</f>
        <v>ENTRADA CONTA APLICAÇÃO (+)</v>
      </c>
      <c r="L1898" s="50" t="str">
        <f>VLOOKUP(K1898,'Base -Receita-Despesa'!$B:$P,1,FALSE)</f>
        <v>ENTRADA CONTA APLICAÇÃO (+)</v>
      </c>
    </row>
    <row r="1899" spans="1:12" ht="15" customHeight="1" x14ac:dyDescent="0.3">
      <c r="A1899" s="82" t="str">
        <f t="shared" si="58"/>
        <v>2016</v>
      </c>
      <c r="B1899" s="72" t="s">
        <v>131</v>
      </c>
      <c r="C1899" s="73" t="s">
        <v>132</v>
      </c>
      <c r="D1899" s="74" t="str">
        <f t="shared" si="59"/>
        <v>ago/2016</v>
      </c>
      <c r="E1899" s="53">
        <v>42584</v>
      </c>
      <c r="F1899" s="75" t="s">
        <v>840</v>
      </c>
      <c r="G1899" s="72"/>
      <c r="H1899" s="49" t="s">
        <v>1406</v>
      </c>
      <c r="I1899" s="49" t="s">
        <v>129</v>
      </c>
      <c r="J1899" s="76">
        <v>-11.07</v>
      </c>
      <c r="K1899" s="83" t="str">
        <f>IFERROR(IFERROR(VLOOKUP(I1899,'DE-PARA'!B:D,3,0),VLOOKUP(I1899,'DE-PARA'!C:D,2,0)),"NÃO ENCONTRADO")</f>
        <v>Outras Saídas</v>
      </c>
      <c r="L1899" s="50" t="str">
        <f>VLOOKUP(K1899,'Base -Receita-Despesa'!$B:$P,1,FALSE)</f>
        <v>Outras Saídas</v>
      </c>
    </row>
    <row r="1900" spans="1:12" ht="15" customHeight="1" x14ac:dyDescent="0.3">
      <c r="A1900" s="82" t="str">
        <f t="shared" si="58"/>
        <v>2016</v>
      </c>
      <c r="B1900" s="72" t="s">
        <v>131</v>
      </c>
      <c r="C1900" s="73" t="s">
        <v>132</v>
      </c>
      <c r="D1900" s="74" t="str">
        <f t="shared" si="59"/>
        <v>ago/2016</v>
      </c>
      <c r="E1900" s="53">
        <v>42585</v>
      </c>
      <c r="F1900" s="75" t="s">
        <v>1262</v>
      </c>
      <c r="G1900" s="72"/>
      <c r="H1900" s="49" t="s">
        <v>328</v>
      </c>
      <c r="I1900" s="49" t="s">
        <v>159</v>
      </c>
      <c r="J1900" s="76">
        <v>-1833.13</v>
      </c>
      <c r="K1900" s="83" t="str">
        <f>IFERROR(IFERROR(VLOOKUP(I1900,'DE-PARA'!B:D,3,0),VLOOKUP(I1900,'DE-PARA'!C:D,2,0)),"NÃO ENCONTRADO")</f>
        <v>Materiais</v>
      </c>
      <c r="L1900" s="50" t="str">
        <f>VLOOKUP(K1900,'Base -Receita-Despesa'!$B:$P,1,FALSE)</f>
        <v>Materiais</v>
      </c>
    </row>
    <row r="1901" spans="1:12" ht="15" customHeight="1" x14ac:dyDescent="0.3">
      <c r="A1901" s="82" t="str">
        <f t="shared" si="58"/>
        <v>2016</v>
      </c>
      <c r="B1901" s="72" t="s">
        <v>131</v>
      </c>
      <c r="C1901" s="73" t="s">
        <v>132</v>
      </c>
      <c r="D1901" s="74" t="str">
        <f t="shared" si="59"/>
        <v>ago/2016</v>
      </c>
      <c r="E1901" s="53">
        <v>42585</v>
      </c>
      <c r="F1901" s="75" t="s">
        <v>981</v>
      </c>
      <c r="G1901" s="72"/>
      <c r="H1901" s="49" t="s">
        <v>1407</v>
      </c>
      <c r="I1901" s="49" t="s">
        <v>204</v>
      </c>
      <c r="J1901" s="76">
        <v>13.74</v>
      </c>
      <c r="K1901" s="83" t="str">
        <f>IFERROR(IFERROR(VLOOKUP(I1901,'DE-PARA'!B:D,3,0),VLOOKUP(I1901,'DE-PARA'!C:D,2,0)),"NÃO ENCONTRADO")</f>
        <v>Serviços</v>
      </c>
      <c r="L1901" s="50" t="str">
        <f>VLOOKUP(K1901,'Base -Receita-Despesa'!$B:$P,1,FALSE)</f>
        <v>Serviços</v>
      </c>
    </row>
    <row r="1902" spans="1:12" ht="15" customHeight="1" x14ac:dyDescent="0.3">
      <c r="A1902" s="82" t="str">
        <f t="shared" si="58"/>
        <v>2016</v>
      </c>
      <c r="B1902" s="72" t="s">
        <v>131</v>
      </c>
      <c r="C1902" s="73" t="s">
        <v>132</v>
      </c>
      <c r="D1902" s="74" t="str">
        <f t="shared" si="59"/>
        <v>ago/2016</v>
      </c>
      <c r="E1902" s="53">
        <v>42585</v>
      </c>
      <c r="F1902" s="75" t="s">
        <v>981</v>
      </c>
      <c r="G1902" s="72"/>
      <c r="H1902" s="49" t="s">
        <v>1408</v>
      </c>
      <c r="I1902" s="49" t="s">
        <v>159</v>
      </c>
      <c r="J1902" s="76">
        <v>8.0299999999999994</v>
      </c>
      <c r="K1902" s="83" t="str">
        <f>IFERROR(IFERROR(VLOOKUP(I1902,'DE-PARA'!B:D,3,0),VLOOKUP(I1902,'DE-PARA'!C:D,2,0)),"NÃO ENCONTRADO")</f>
        <v>Materiais</v>
      </c>
      <c r="L1902" s="50" t="str">
        <f>VLOOKUP(K1902,'Base -Receita-Despesa'!$B:$P,1,FALSE)</f>
        <v>Materiais</v>
      </c>
    </row>
    <row r="1903" spans="1:12" ht="15" customHeight="1" x14ac:dyDescent="0.3">
      <c r="A1903" s="82" t="str">
        <f t="shared" si="58"/>
        <v>2016</v>
      </c>
      <c r="B1903" s="72" t="s">
        <v>131</v>
      </c>
      <c r="C1903" s="73" t="s">
        <v>132</v>
      </c>
      <c r="D1903" s="74" t="str">
        <f t="shared" si="59"/>
        <v>ago/2016</v>
      </c>
      <c r="E1903" s="53">
        <v>42585</v>
      </c>
      <c r="F1903" s="75" t="s">
        <v>1409</v>
      </c>
      <c r="G1903" s="72"/>
      <c r="H1903" s="49" t="s">
        <v>183</v>
      </c>
      <c r="I1903" s="49" t="s">
        <v>159</v>
      </c>
      <c r="J1903" s="76">
        <v>-155</v>
      </c>
      <c r="K1903" s="83" t="str">
        <f>IFERROR(IFERROR(VLOOKUP(I1903,'DE-PARA'!B:D,3,0),VLOOKUP(I1903,'DE-PARA'!C:D,2,0)),"NÃO ENCONTRADO")</f>
        <v>Materiais</v>
      </c>
      <c r="L1903" s="50" t="str">
        <f>VLOOKUP(K1903,'Base -Receita-Despesa'!$B:$P,1,FALSE)</f>
        <v>Materiais</v>
      </c>
    </row>
    <row r="1904" spans="1:12" ht="15" customHeight="1" x14ac:dyDescent="0.3">
      <c r="A1904" s="82" t="str">
        <f t="shared" si="58"/>
        <v>2016</v>
      </c>
      <c r="B1904" s="72" t="s">
        <v>131</v>
      </c>
      <c r="C1904" s="73" t="s">
        <v>132</v>
      </c>
      <c r="D1904" s="74" t="str">
        <f t="shared" si="59"/>
        <v>ago/2016</v>
      </c>
      <c r="E1904" s="53">
        <v>42585</v>
      </c>
      <c r="F1904" s="75" t="s">
        <v>1054</v>
      </c>
      <c r="G1904" s="72"/>
      <c r="H1904" s="49" t="s">
        <v>1055</v>
      </c>
      <c r="I1904" s="49" t="s">
        <v>1056</v>
      </c>
      <c r="J1904" s="76">
        <v>1966.36</v>
      </c>
      <c r="K1904" s="83" t="str">
        <f>IFERROR(IFERROR(VLOOKUP(I1904,'DE-PARA'!B:D,3,0),VLOOKUP(I1904,'DE-PARA'!C:D,2,0)),"NÃO ENCONTRADO")</f>
        <v>ENTRADA CONTA APLICAÇÃO (+)</v>
      </c>
      <c r="L1904" s="50" t="str">
        <f>VLOOKUP(K1904,'Base -Receita-Despesa'!$B:$P,1,FALSE)</f>
        <v>ENTRADA CONTA APLICAÇÃO (+)</v>
      </c>
    </row>
    <row r="1905" spans="1:12" ht="15" customHeight="1" x14ac:dyDescent="0.3">
      <c r="A1905" s="82" t="str">
        <f t="shared" si="58"/>
        <v>2016</v>
      </c>
      <c r="B1905" s="72" t="s">
        <v>131</v>
      </c>
      <c r="C1905" s="73" t="s">
        <v>132</v>
      </c>
      <c r="D1905" s="74" t="str">
        <f t="shared" si="59"/>
        <v>ago/2016</v>
      </c>
      <c r="E1905" s="53">
        <v>42586</v>
      </c>
      <c r="F1905" s="75" t="s">
        <v>1410</v>
      </c>
      <c r="G1905" s="72"/>
      <c r="H1905" s="49" t="s">
        <v>328</v>
      </c>
      <c r="I1905" s="49" t="s">
        <v>159</v>
      </c>
      <c r="J1905" s="76">
        <v>-1071.69</v>
      </c>
      <c r="K1905" s="83" t="str">
        <f>IFERROR(IFERROR(VLOOKUP(I1905,'DE-PARA'!B:D,3,0),VLOOKUP(I1905,'DE-PARA'!C:D,2,0)),"NÃO ENCONTRADO")</f>
        <v>Materiais</v>
      </c>
      <c r="L1905" s="50" t="str">
        <f>VLOOKUP(K1905,'Base -Receita-Despesa'!$B:$P,1,FALSE)</f>
        <v>Materiais</v>
      </c>
    </row>
    <row r="1906" spans="1:12" ht="15" customHeight="1" x14ac:dyDescent="0.3">
      <c r="A1906" s="82" t="str">
        <f t="shared" si="58"/>
        <v>2016</v>
      </c>
      <c r="B1906" s="72" t="s">
        <v>131</v>
      </c>
      <c r="C1906" s="73" t="s">
        <v>132</v>
      </c>
      <c r="D1906" s="74" t="str">
        <f t="shared" si="59"/>
        <v>ago/2016</v>
      </c>
      <c r="E1906" s="53">
        <v>42586</v>
      </c>
      <c r="F1906" s="75" t="s">
        <v>1411</v>
      </c>
      <c r="G1906" s="72"/>
      <c r="H1906" s="49" t="s">
        <v>1412</v>
      </c>
      <c r="I1906" s="49" t="s">
        <v>317</v>
      </c>
      <c r="J1906" s="76">
        <v>-3440</v>
      </c>
      <c r="K1906" s="83" t="str">
        <f>IFERROR(IFERROR(VLOOKUP(I1906,'DE-PARA'!B:D,3,0),VLOOKUP(I1906,'DE-PARA'!C:D,2,0)),"NÃO ENCONTRADO")</f>
        <v>Investimentos</v>
      </c>
      <c r="L1906" s="50" t="str">
        <f>VLOOKUP(K1906,'Base -Receita-Despesa'!$B:$P,1,FALSE)</f>
        <v>Investimentos</v>
      </c>
    </row>
    <row r="1907" spans="1:12" ht="15" customHeight="1" x14ac:dyDescent="0.3">
      <c r="A1907" s="82" t="str">
        <f t="shared" si="58"/>
        <v>2016</v>
      </c>
      <c r="B1907" s="72" t="s">
        <v>131</v>
      </c>
      <c r="C1907" s="73" t="s">
        <v>132</v>
      </c>
      <c r="D1907" s="74" t="str">
        <f t="shared" si="59"/>
        <v>ago/2016</v>
      </c>
      <c r="E1907" s="53">
        <v>42586</v>
      </c>
      <c r="F1907" s="75" t="s">
        <v>1054</v>
      </c>
      <c r="G1907" s="72"/>
      <c r="H1907" s="49" t="s">
        <v>1055</v>
      </c>
      <c r="I1907" s="49" t="s">
        <v>1056</v>
      </c>
      <c r="J1907" s="76">
        <v>4511.6899999999996</v>
      </c>
      <c r="K1907" s="83" t="str">
        <f>IFERROR(IFERROR(VLOOKUP(I1907,'DE-PARA'!B:D,3,0),VLOOKUP(I1907,'DE-PARA'!C:D,2,0)),"NÃO ENCONTRADO")</f>
        <v>ENTRADA CONTA APLICAÇÃO (+)</v>
      </c>
      <c r="L1907" s="50" t="str">
        <f>VLOOKUP(K1907,'Base -Receita-Despesa'!$B:$P,1,FALSE)</f>
        <v>ENTRADA CONTA APLICAÇÃO (+)</v>
      </c>
    </row>
    <row r="1908" spans="1:12" ht="15" customHeight="1" x14ac:dyDescent="0.3">
      <c r="A1908" s="82" t="str">
        <f t="shared" si="58"/>
        <v>2016</v>
      </c>
      <c r="B1908" s="72" t="s">
        <v>249</v>
      </c>
      <c r="C1908" s="73" t="s">
        <v>132</v>
      </c>
      <c r="D1908" s="74" t="str">
        <f t="shared" si="59"/>
        <v>ago/2016</v>
      </c>
      <c r="E1908" s="53">
        <v>42587</v>
      </c>
      <c r="F1908" s="75" t="s">
        <v>154</v>
      </c>
      <c r="G1908" s="72"/>
      <c r="H1908" s="49" t="s">
        <v>154</v>
      </c>
      <c r="I1908" s="49" t="s">
        <v>1497</v>
      </c>
      <c r="J1908" s="76">
        <v>44288.4</v>
      </c>
      <c r="K1908" s="83" t="str">
        <f>IFERROR(IFERROR(VLOOKUP(I1908,'DE-PARA'!B:D,3,0),VLOOKUP(I1908,'DE-PARA'!C:D,2,0)),"NÃO ENCONTRADO")</f>
        <v>Repasses Contrato de Gestão</v>
      </c>
      <c r="L1908" s="50" t="str">
        <f>VLOOKUP(K1908,'Base -Receita-Despesa'!$B:$P,1,FALSE)</f>
        <v>Repasses Contrato de Gestão</v>
      </c>
    </row>
    <row r="1909" spans="1:12" ht="15" customHeight="1" x14ac:dyDescent="0.3">
      <c r="A1909" s="82" t="str">
        <f t="shared" si="58"/>
        <v>2016</v>
      </c>
      <c r="B1909" s="72" t="s">
        <v>249</v>
      </c>
      <c r="C1909" s="73" t="s">
        <v>132</v>
      </c>
      <c r="D1909" s="74" t="str">
        <f t="shared" si="59"/>
        <v>ago/2016</v>
      </c>
      <c r="E1909" s="53">
        <v>42587</v>
      </c>
      <c r="F1909" s="75" t="s">
        <v>1045</v>
      </c>
      <c r="G1909" s="72"/>
      <c r="H1909" s="49" t="s">
        <v>1243</v>
      </c>
      <c r="I1909" s="49" t="s">
        <v>121</v>
      </c>
      <c r="J1909" s="76">
        <v>-44288.4</v>
      </c>
      <c r="K1909" s="83" t="s">
        <v>93</v>
      </c>
      <c r="L1909" s="50" t="str">
        <f>VLOOKUP(K1909,'Base -Receita-Despesa'!$B:$P,1,FALSE)</f>
        <v>Transferências da c/c para c/a ou c/p (-)</v>
      </c>
    </row>
    <row r="1910" spans="1:12" ht="15" customHeight="1" x14ac:dyDescent="0.3">
      <c r="A1910" s="82" t="str">
        <f t="shared" si="58"/>
        <v>2016</v>
      </c>
      <c r="B1910" s="72" t="s">
        <v>131</v>
      </c>
      <c r="C1910" s="73" t="s">
        <v>132</v>
      </c>
      <c r="D1910" s="74" t="str">
        <f t="shared" si="59"/>
        <v>ago/2016</v>
      </c>
      <c r="E1910" s="53">
        <v>42587</v>
      </c>
      <c r="F1910" s="75" t="s">
        <v>122</v>
      </c>
      <c r="G1910" s="72"/>
      <c r="H1910" s="49" t="s">
        <v>1413</v>
      </c>
      <c r="I1910" s="49" t="s">
        <v>122</v>
      </c>
      <c r="J1910" s="76">
        <v>-30551.25</v>
      </c>
      <c r="K1910" s="83" t="str">
        <f>IFERROR(IFERROR(VLOOKUP(I1910,'DE-PARA'!B:D,3,0),VLOOKUP(I1910,'DE-PARA'!C:D,2,0)),"NÃO ENCONTRADO")</f>
        <v>Encargos sobre Folha de Pagamento</v>
      </c>
      <c r="L1910" s="50" t="str">
        <f>VLOOKUP(K1910,'Base -Receita-Despesa'!$B:$P,1,FALSE)</f>
        <v>Encargos sobre Folha de Pagamento</v>
      </c>
    </row>
    <row r="1911" spans="1:12" ht="15" customHeight="1" x14ac:dyDescent="0.3">
      <c r="A1911" s="82" t="str">
        <f t="shared" si="58"/>
        <v>2016</v>
      </c>
      <c r="B1911" s="72" t="s">
        <v>131</v>
      </c>
      <c r="C1911" s="73" t="s">
        <v>132</v>
      </c>
      <c r="D1911" s="74" t="str">
        <f t="shared" si="59"/>
        <v>ago/2016</v>
      </c>
      <c r="E1911" s="53">
        <v>42587</v>
      </c>
      <c r="F1911" s="75" t="s">
        <v>1414</v>
      </c>
      <c r="G1911" s="72"/>
      <c r="H1911" s="49" t="s">
        <v>1415</v>
      </c>
      <c r="I1911" s="49" t="s">
        <v>135</v>
      </c>
      <c r="J1911" s="76">
        <v>-213090.79</v>
      </c>
      <c r="K1911" s="83" t="str">
        <f>IFERROR(IFERROR(VLOOKUP(I1911,'DE-PARA'!B:D,3,0),VLOOKUP(I1911,'DE-PARA'!C:D,2,0)),"NÃO ENCONTRADO")</f>
        <v>Pessoal</v>
      </c>
      <c r="L1911" s="50" t="str">
        <f>VLOOKUP(K1911,'Base -Receita-Despesa'!$B:$P,1,FALSE)</f>
        <v>Pessoal</v>
      </c>
    </row>
    <row r="1912" spans="1:12" ht="15" customHeight="1" x14ac:dyDescent="0.3">
      <c r="A1912" s="82" t="str">
        <f t="shared" si="58"/>
        <v>2016</v>
      </c>
      <c r="B1912" s="72" t="s">
        <v>131</v>
      </c>
      <c r="C1912" s="73" t="s">
        <v>132</v>
      </c>
      <c r="D1912" s="74" t="str">
        <f t="shared" si="59"/>
        <v>ago/2016</v>
      </c>
      <c r="E1912" s="53">
        <v>42587</v>
      </c>
      <c r="F1912" s="75" t="s">
        <v>1416</v>
      </c>
      <c r="G1912" s="72"/>
      <c r="H1912" s="49" t="s">
        <v>246</v>
      </c>
      <c r="I1912" s="49" t="s">
        <v>138</v>
      </c>
      <c r="J1912" s="76">
        <v>-462.46</v>
      </c>
      <c r="K1912" s="83" t="str">
        <f>IFERROR(IFERROR(VLOOKUP(I1912,'DE-PARA'!B:D,3,0),VLOOKUP(I1912,'DE-PARA'!C:D,2,0)),"NÃO ENCONTRADO")</f>
        <v>Serviços</v>
      </c>
      <c r="L1912" s="50" t="str">
        <f>VLOOKUP(K1912,'Base -Receita-Despesa'!$B:$P,1,FALSE)</f>
        <v>Serviços</v>
      </c>
    </row>
    <row r="1913" spans="1:12" ht="15" customHeight="1" x14ac:dyDescent="0.3">
      <c r="A1913" s="82" t="str">
        <f t="shared" si="58"/>
        <v>2016</v>
      </c>
      <c r="B1913" s="72" t="s">
        <v>131</v>
      </c>
      <c r="C1913" s="73" t="s">
        <v>132</v>
      </c>
      <c r="D1913" s="74" t="str">
        <f t="shared" si="59"/>
        <v>ago/2016</v>
      </c>
      <c r="E1913" s="53">
        <v>42587</v>
      </c>
      <c r="F1913" s="75" t="s">
        <v>1054</v>
      </c>
      <c r="G1913" s="72"/>
      <c r="H1913" s="49" t="s">
        <v>1055</v>
      </c>
      <c r="I1913" s="49" t="s">
        <v>1056</v>
      </c>
      <c r="J1913" s="76">
        <v>199816.1</v>
      </c>
      <c r="K1913" s="83" t="str">
        <f>IFERROR(IFERROR(VLOOKUP(I1913,'DE-PARA'!B:D,3,0),VLOOKUP(I1913,'DE-PARA'!C:D,2,0)),"NÃO ENCONTRADO")</f>
        <v>ENTRADA CONTA APLICAÇÃO (+)</v>
      </c>
      <c r="L1913" s="50" t="str">
        <f>VLOOKUP(K1913,'Base -Receita-Despesa'!$B:$P,1,FALSE)</f>
        <v>ENTRADA CONTA APLICAÇÃO (+)</v>
      </c>
    </row>
    <row r="1914" spans="1:12" ht="15" customHeight="1" x14ac:dyDescent="0.3">
      <c r="A1914" s="82" t="str">
        <f t="shared" si="58"/>
        <v>2016</v>
      </c>
      <c r="B1914" s="72" t="s">
        <v>131</v>
      </c>
      <c r="C1914" s="73" t="s">
        <v>132</v>
      </c>
      <c r="D1914" s="74" t="str">
        <f t="shared" si="59"/>
        <v>ago/2016</v>
      </c>
      <c r="E1914" s="53">
        <v>42587</v>
      </c>
      <c r="F1914" s="75" t="s">
        <v>1045</v>
      </c>
      <c r="G1914" s="72"/>
      <c r="H1914" s="49" t="s">
        <v>1046</v>
      </c>
      <c r="I1914" s="49" t="s">
        <v>121</v>
      </c>
      <c r="J1914" s="76">
        <v>44288.4</v>
      </c>
      <c r="K1914" s="83" t="s">
        <v>93</v>
      </c>
      <c r="L1914" s="50" t="str">
        <f>VLOOKUP(K1914,'Base -Receita-Despesa'!$B:$P,1,FALSE)</f>
        <v>Transferências da c/c para c/a ou c/p (-)</v>
      </c>
    </row>
    <row r="1915" spans="1:12" ht="15" customHeight="1" x14ac:dyDescent="0.3">
      <c r="A1915" s="82" t="str">
        <f t="shared" si="58"/>
        <v>2016</v>
      </c>
      <c r="B1915" s="72" t="s">
        <v>131</v>
      </c>
      <c r="C1915" s="73" t="s">
        <v>132</v>
      </c>
      <c r="D1915" s="74" t="str">
        <f t="shared" si="59"/>
        <v>ago/2016</v>
      </c>
      <c r="E1915" s="53">
        <v>42590</v>
      </c>
      <c r="F1915" s="75" t="s">
        <v>1417</v>
      </c>
      <c r="G1915" s="72"/>
      <c r="H1915" s="49" t="s">
        <v>328</v>
      </c>
      <c r="I1915" s="49" t="s">
        <v>159</v>
      </c>
      <c r="J1915" s="76">
        <v>-1957.84</v>
      </c>
      <c r="K1915" s="83" t="str">
        <f>IFERROR(IFERROR(VLOOKUP(I1915,'DE-PARA'!B:D,3,0),VLOOKUP(I1915,'DE-PARA'!C:D,2,0)),"NÃO ENCONTRADO")</f>
        <v>Materiais</v>
      </c>
      <c r="L1915" s="50" t="str">
        <f>VLOOKUP(K1915,'Base -Receita-Despesa'!$B:$P,1,FALSE)</f>
        <v>Materiais</v>
      </c>
    </row>
    <row r="1916" spans="1:12" ht="15" customHeight="1" x14ac:dyDescent="0.3">
      <c r="A1916" s="82" t="str">
        <f t="shared" si="58"/>
        <v>2016</v>
      </c>
      <c r="B1916" s="72" t="s">
        <v>131</v>
      </c>
      <c r="C1916" s="73" t="s">
        <v>132</v>
      </c>
      <c r="D1916" s="74" t="str">
        <f t="shared" si="59"/>
        <v>ago/2016</v>
      </c>
      <c r="E1916" s="53">
        <v>42590</v>
      </c>
      <c r="F1916" s="75" t="s">
        <v>1418</v>
      </c>
      <c r="G1916" s="72"/>
      <c r="H1916" s="49" t="s">
        <v>1419</v>
      </c>
      <c r="I1916" s="49" t="s">
        <v>529</v>
      </c>
      <c r="J1916" s="76">
        <v>-400</v>
      </c>
      <c r="K1916" s="83" t="str">
        <f>IFERROR(IFERROR(VLOOKUP(I1916,'DE-PARA'!B:D,3,0),VLOOKUP(I1916,'DE-PARA'!C:D,2,0)),"NÃO ENCONTRADO")</f>
        <v>Tributos, Taxas e Contribuições</v>
      </c>
      <c r="L1916" s="50" t="str">
        <f>VLOOKUP(K1916,'Base -Receita-Despesa'!$B:$P,1,FALSE)</f>
        <v>Tributos, Taxas e Contribuições</v>
      </c>
    </row>
    <row r="1917" spans="1:12" ht="15" customHeight="1" x14ac:dyDescent="0.3">
      <c r="A1917" s="82" t="str">
        <f t="shared" si="58"/>
        <v>2016</v>
      </c>
      <c r="B1917" s="72" t="s">
        <v>131</v>
      </c>
      <c r="C1917" s="73" t="s">
        <v>132</v>
      </c>
      <c r="D1917" s="74" t="str">
        <f t="shared" si="59"/>
        <v>ago/2016</v>
      </c>
      <c r="E1917" s="53">
        <v>42590</v>
      </c>
      <c r="F1917" s="75" t="s">
        <v>1420</v>
      </c>
      <c r="G1917" s="72"/>
      <c r="H1917" s="49" t="s">
        <v>382</v>
      </c>
      <c r="I1917" s="49" t="s">
        <v>159</v>
      </c>
      <c r="J1917" s="76">
        <v>-1103.99</v>
      </c>
      <c r="K1917" s="83" t="str">
        <f>IFERROR(IFERROR(VLOOKUP(I1917,'DE-PARA'!B:D,3,0),VLOOKUP(I1917,'DE-PARA'!C:D,2,0)),"NÃO ENCONTRADO")</f>
        <v>Materiais</v>
      </c>
      <c r="L1917" s="50" t="str">
        <f>VLOOKUP(K1917,'Base -Receita-Despesa'!$B:$P,1,FALSE)</f>
        <v>Materiais</v>
      </c>
    </row>
    <row r="1918" spans="1:12" ht="15" customHeight="1" x14ac:dyDescent="0.3">
      <c r="A1918" s="82" t="str">
        <f t="shared" si="58"/>
        <v>2016</v>
      </c>
      <c r="B1918" s="72" t="s">
        <v>131</v>
      </c>
      <c r="C1918" s="73" t="s">
        <v>132</v>
      </c>
      <c r="D1918" s="74" t="str">
        <f t="shared" si="59"/>
        <v>ago/2016</v>
      </c>
      <c r="E1918" s="53">
        <v>42590</v>
      </c>
      <c r="F1918" s="75" t="s">
        <v>1421</v>
      </c>
      <c r="G1918" s="72"/>
      <c r="H1918" s="49" t="s">
        <v>691</v>
      </c>
      <c r="I1918" s="49" t="s">
        <v>167</v>
      </c>
      <c r="J1918" s="76">
        <v>-867.64</v>
      </c>
      <c r="K1918" s="83" t="str">
        <f>IFERROR(IFERROR(VLOOKUP(I1918,'DE-PARA'!B:D,3,0),VLOOKUP(I1918,'DE-PARA'!C:D,2,0)),"NÃO ENCONTRADO")</f>
        <v>Materiais</v>
      </c>
      <c r="L1918" s="50" t="str">
        <f>VLOOKUP(K1918,'Base -Receita-Despesa'!$B:$P,1,FALSE)</f>
        <v>Materiais</v>
      </c>
    </row>
    <row r="1919" spans="1:12" ht="15" customHeight="1" x14ac:dyDescent="0.3">
      <c r="A1919" s="82" t="str">
        <f t="shared" si="58"/>
        <v>2016</v>
      </c>
      <c r="B1919" s="72" t="s">
        <v>131</v>
      </c>
      <c r="C1919" s="73" t="s">
        <v>132</v>
      </c>
      <c r="D1919" s="74" t="str">
        <f t="shared" si="59"/>
        <v>ago/2016</v>
      </c>
      <c r="E1919" s="53">
        <v>42590</v>
      </c>
      <c r="F1919" s="75" t="s">
        <v>1054</v>
      </c>
      <c r="G1919" s="72"/>
      <c r="H1919" s="49" t="s">
        <v>1055</v>
      </c>
      <c r="I1919" s="49" t="s">
        <v>1056</v>
      </c>
      <c r="J1919" s="76">
        <v>6605.07</v>
      </c>
      <c r="K1919" s="83" t="str">
        <f>IFERROR(IFERROR(VLOOKUP(I1919,'DE-PARA'!B:D,3,0),VLOOKUP(I1919,'DE-PARA'!C:D,2,0)),"NÃO ENCONTRADO")</f>
        <v>ENTRADA CONTA APLICAÇÃO (+)</v>
      </c>
      <c r="L1919" s="50" t="str">
        <f>VLOOKUP(K1919,'Base -Receita-Despesa'!$B:$P,1,FALSE)</f>
        <v>ENTRADA CONTA APLICAÇÃO (+)</v>
      </c>
    </row>
    <row r="1920" spans="1:12" ht="15" customHeight="1" x14ac:dyDescent="0.3">
      <c r="A1920" s="82" t="str">
        <f t="shared" si="58"/>
        <v>2016</v>
      </c>
      <c r="B1920" s="72" t="s">
        <v>131</v>
      </c>
      <c r="C1920" s="73" t="s">
        <v>132</v>
      </c>
      <c r="D1920" s="74" t="str">
        <f t="shared" si="59"/>
        <v>ago/2016</v>
      </c>
      <c r="E1920" s="53">
        <v>42590</v>
      </c>
      <c r="F1920" s="75" t="s">
        <v>146</v>
      </c>
      <c r="G1920" s="72"/>
      <c r="H1920" s="49" t="s">
        <v>147</v>
      </c>
      <c r="I1920" s="49" t="s">
        <v>148</v>
      </c>
      <c r="J1920" s="76">
        <v>-2275.6</v>
      </c>
      <c r="K1920" s="83" t="str">
        <f>IFERROR(IFERROR(VLOOKUP(I1920,'DE-PARA'!B:D,3,0),VLOOKUP(I1920,'DE-PARA'!C:D,2,0)),"NÃO ENCONTRADO")</f>
        <v>Concessionárias (água, luz e telefone)</v>
      </c>
      <c r="L1920" s="50" t="str">
        <f>VLOOKUP(K1920,'Base -Receita-Despesa'!$B:$P,1,FALSE)</f>
        <v>Concessionárias (água, luz e telefone)</v>
      </c>
    </row>
    <row r="1921" spans="1:12" ht="15" customHeight="1" x14ac:dyDescent="0.3">
      <c r="A1921" s="82" t="str">
        <f t="shared" si="58"/>
        <v>2016</v>
      </c>
      <c r="B1921" s="72" t="s">
        <v>131</v>
      </c>
      <c r="C1921" s="73" t="s">
        <v>132</v>
      </c>
      <c r="D1921" s="74" t="str">
        <f t="shared" si="59"/>
        <v>ago/2016</v>
      </c>
      <c r="E1921" s="53">
        <v>42591</v>
      </c>
      <c r="F1921" s="75"/>
      <c r="G1921" s="72"/>
      <c r="H1921" s="49" t="s">
        <v>130</v>
      </c>
      <c r="I1921" s="49" t="s">
        <v>129</v>
      </c>
      <c r="J1921" s="76">
        <v>462.46</v>
      </c>
      <c r="K1921" s="83" t="str">
        <f>IFERROR(IFERROR(VLOOKUP(I1921,'DE-PARA'!B:D,3,0),VLOOKUP(I1921,'DE-PARA'!C:D,2,0)),"NÃO ENCONTRADO")</f>
        <v>Outras Saídas</v>
      </c>
      <c r="L1921" s="50" t="str">
        <f>VLOOKUP(K1921,'Base -Receita-Despesa'!$B:$P,1,FALSE)</f>
        <v>Outras Saídas</v>
      </c>
    </row>
    <row r="1922" spans="1:12" ht="15" customHeight="1" x14ac:dyDescent="0.3">
      <c r="A1922" s="82" t="str">
        <f t="shared" si="58"/>
        <v>2016</v>
      </c>
      <c r="B1922" s="72" t="s">
        <v>131</v>
      </c>
      <c r="C1922" s="73" t="s">
        <v>132</v>
      </c>
      <c r="D1922" s="74" t="str">
        <f t="shared" si="59"/>
        <v>ago/2016</v>
      </c>
      <c r="E1922" s="53">
        <v>42591</v>
      </c>
      <c r="F1922" s="75"/>
      <c r="G1922" s="72"/>
      <c r="H1922" s="49" t="s">
        <v>1422</v>
      </c>
      <c r="I1922" s="49" t="s">
        <v>529</v>
      </c>
      <c r="J1922" s="76">
        <v>-8959.6299999999992</v>
      </c>
      <c r="K1922" s="83" t="str">
        <f>IFERROR(IFERROR(VLOOKUP(I1922,'DE-PARA'!B:D,3,0),VLOOKUP(I1922,'DE-PARA'!C:D,2,0)),"NÃO ENCONTRADO")</f>
        <v>Tributos, Taxas e Contribuições</v>
      </c>
      <c r="L1922" s="50" t="str">
        <f>VLOOKUP(K1922,'Base -Receita-Despesa'!$B:$P,1,FALSE)</f>
        <v>Tributos, Taxas e Contribuições</v>
      </c>
    </row>
    <row r="1923" spans="1:12" ht="15" customHeight="1" x14ac:dyDescent="0.3">
      <c r="A1923" s="82" t="str">
        <f t="shared" si="58"/>
        <v>2016</v>
      </c>
      <c r="B1923" s="72" t="s">
        <v>131</v>
      </c>
      <c r="C1923" s="73" t="s">
        <v>132</v>
      </c>
      <c r="D1923" s="74" t="str">
        <f t="shared" si="59"/>
        <v>ago/2016</v>
      </c>
      <c r="E1923" s="53">
        <v>42591</v>
      </c>
      <c r="F1923" s="75"/>
      <c r="G1923" s="72"/>
      <c r="H1923" s="49" t="s">
        <v>1055</v>
      </c>
      <c r="I1923" s="49" t="s">
        <v>1056</v>
      </c>
      <c r="J1923" s="76">
        <v>8621.4</v>
      </c>
      <c r="K1923" s="83" t="str">
        <f>IFERROR(IFERROR(VLOOKUP(I1923,'DE-PARA'!B:D,3,0),VLOOKUP(I1923,'DE-PARA'!C:D,2,0)),"NÃO ENCONTRADO")</f>
        <v>ENTRADA CONTA APLICAÇÃO (+)</v>
      </c>
      <c r="L1923" s="50" t="str">
        <f>VLOOKUP(K1923,'Base -Receita-Despesa'!$B:$P,1,FALSE)</f>
        <v>ENTRADA CONTA APLICAÇÃO (+)</v>
      </c>
    </row>
    <row r="1924" spans="1:12" ht="15" customHeight="1" x14ac:dyDescent="0.3">
      <c r="A1924" s="82" t="str">
        <f t="shared" ref="A1924:A1987" si="60">IF(K1924="NÃO ENCONTRADO",0,RIGHT(D1924,4))</f>
        <v>2016</v>
      </c>
      <c r="B1924" s="72" t="s">
        <v>131</v>
      </c>
      <c r="C1924" s="73" t="s">
        <v>132</v>
      </c>
      <c r="D1924" s="74" t="str">
        <f t="shared" ref="D1924:D1987" si="61">TEXT(E1924,"mmm/aaaa")</f>
        <v>ago/2016</v>
      </c>
      <c r="E1924" s="53">
        <v>42591</v>
      </c>
      <c r="F1924" s="75"/>
      <c r="G1924" s="72"/>
      <c r="H1924" s="49" t="s">
        <v>1406</v>
      </c>
      <c r="I1924" s="49" t="s">
        <v>129</v>
      </c>
      <c r="J1924" s="76">
        <v>-124.23</v>
      </c>
      <c r="K1924" s="83" t="str">
        <f>IFERROR(IFERROR(VLOOKUP(I1924,'DE-PARA'!B:D,3,0),VLOOKUP(I1924,'DE-PARA'!C:D,2,0)),"NÃO ENCONTRADO")</f>
        <v>Outras Saídas</v>
      </c>
      <c r="L1924" s="50" t="str">
        <f>VLOOKUP(K1924,'Base -Receita-Despesa'!$B:$P,1,FALSE)</f>
        <v>Outras Saídas</v>
      </c>
    </row>
    <row r="1925" spans="1:12" ht="15" customHeight="1" x14ac:dyDescent="0.3">
      <c r="A1925" s="82" t="str">
        <f t="shared" si="60"/>
        <v>2016</v>
      </c>
      <c r="B1925" s="72" t="s">
        <v>131</v>
      </c>
      <c r="C1925" s="73" t="s">
        <v>132</v>
      </c>
      <c r="D1925" s="74" t="str">
        <f t="shared" si="61"/>
        <v>ago/2016</v>
      </c>
      <c r="E1925" s="53">
        <v>42592</v>
      </c>
      <c r="F1925" s="75"/>
      <c r="G1925" s="72"/>
      <c r="H1925" s="49" t="s">
        <v>187</v>
      </c>
      <c r="I1925" s="49" t="s">
        <v>110</v>
      </c>
      <c r="J1925" s="76">
        <v>-2700</v>
      </c>
      <c r="K1925" s="83" t="str">
        <f>IFERROR(IFERROR(VLOOKUP(I1925,'DE-PARA'!B:D,3,0),VLOOKUP(I1925,'DE-PARA'!C:D,2,0)),"NÃO ENCONTRADO")</f>
        <v>Serviços</v>
      </c>
      <c r="L1925" s="50" t="str">
        <f>VLOOKUP(K1925,'Base -Receita-Despesa'!$B:$P,1,FALSE)</f>
        <v>Serviços</v>
      </c>
    </row>
    <row r="1926" spans="1:12" ht="15" customHeight="1" x14ac:dyDescent="0.3">
      <c r="A1926" s="82" t="str">
        <f t="shared" si="60"/>
        <v>2016</v>
      </c>
      <c r="B1926" s="72" t="s">
        <v>249</v>
      </c>
      <c r="C1926" s="73" t="s">
        <v>132</v>
      </c>
      <c r="D1926" s="74" t="str">
        <f t="shared" si="61"/>
        <v>ago/2016</v>
      </c>
      <c r="E1926" s="53">
        <v>42592</v>
      </c>
      <c r="F1926" s="75" t="s">
        <v>154</v>
      </c>
      <c r="G1926" s="72"/>
      <c r="H1926" s="49" t="s">
        <v>154</v>
      </c>
      <c r="I1926" s="49" t="s">
        <v>1497</v>
      </c>
      <c r="J1926" s="76">
        <v>14373.44</v>
      </c>
      <c r="K1926" s="83" t="str">
        <f>IFERROR(IFERROR(VLOOKUP(I1926,'DE-PARA'!B:D,3,0),VLOOKUP(I1926,'DE-PARA'!C:D,2,0)),"NÃO ENCONTRADO")</f>
        <v>Repasses Contrato de Gestão</v>
      </c>
      <c r="L1926" s="50" t="str">
        <f>VLOOKUP(K1926,'Base -Receita-Despesa'!$B:$P,1,FALSE)</f>
        <v>Repasses Contrato de Gestão</v>
      </c>
    </row>
    <row r="1927" spans="1:12" ht="15" customHeight="1" x14ac:dyDescent="0.3">
      <c r="A1927" s="82" t="str">
        <f t="shared" si="60"/>
        <v>2016</v>
      </c>
      <c r="B1927" s="72" t="s">
        <v>249</v>
      </c>
      <c r="C1927" s="73" t="s">
        <v>132</v>
      </c>
      <c r="D1927" s="74" t="str">
        <f t="shared" si="61"/>
        <v>ago/2016</v>
      </c>
      <c r="E1927" s="53">
        <v>42592</v>
      </c>
      <c r="F1927" s="75" t="s">
        <v>1045</v>
      </c>
      <c r="G1927" s="72"/>
      <c r="H1927" s="49" t="s">
        <v>1243</v>
      </c>
      <c r="I1927" s="49" t="s">
        <v>121</v>
      </c>
      <c r="J1927" s="76">
        <v>-14373.44</v>
      </c>
      <c r="K1927" s="83" t="s">
        <v>93</v>
      </c>
      <c r="L1927" s="50" t="str">
        <f>VLOOKUP(K1927,'Base -Receita-Despesa'!$B:$P,1,FALSE)</f>
        <v>Transferências da c/c para c/a ou c/p (-)</v>
      </c>
    </row>
    <row r="1928" spans="1:12" ht="15" customHeight="1" x14ac:dyDescent="0.3">
      <c r="A1928" s="82" t="str">
        <f t="shared" si="60"/>
        <v>2016</v>
      </c>
      <c r="B1928" s="72" t="s">
        <v>131</v>
      </c>
      <c r="C1928" s="73" t="s">
        <v>132</v>
      </c>
      <c r="D1928" s="74" t="str">
        <f t="shared" si="61"/>
        <v>ago/2016</v>
      </c>
      <c r="E1928" s="53">
        <v>42592</v>
      </c>
      <c r="F1928" s="75"/>
      <c r="G1928" s="72"/>
      <c r="H1928" s="49" t="s">
        <v>410</v>
      </c>
      <c r="I1928" s="49" t="s">
        <v>115</v>
      </c>
      <c r="J1928" s="76">
        <v>-6500</v>
      </c>
      <c r="K1928" s="83" t="str">
        <f>IFERROR(IFERROR(VLOOKUP(I1928,'DE-PARA'!B:D,3,0),VLOOKUP(I1928,'DE-PARA'!C:D,2,0)),"NÃO ENCONTRADO")</f>
        <v>Serviços</v>
      </c>
      <c r="L1928" s="50" t="str">
        <f>VLOOKUP(K1928,'Base -Receita-Despesa'!$B:$P,1,FALSE)</f>
        <v>Serviços</v>
      </c>
    </row>
    <row r="1929" spans="1:12" ht="15" customHeight="1" x14ac:dyDescent="0.3">
      <c r="A1929" s="82" t="str">
        <f t="shared" si="60"/>
        <v>2016</v>
      </c>
      <c r="B1929" s="72" t="s">
        <v>131</v>
      </c>
      <c r="C1929" s="73" t="s">
        <v>132</v>
      </c>
      <c r="D1929" s="74" t="str">
        <f t="shared" si="61"/>
        <v>ago/2016</v>
      </c>
      <c r="E1929" s="53">
        <v>42592</v>
      </c>
      <c r="F1929" s="75"/>
      <c r="G1929" s="72"/>
      <c r="H1929" s="49" t="s">
        <v>271</v>
      </c>
      <c r="I1929" s="49" t="s">
        <v>138</v>
      </c>
      <c r="J1929" s="76">
        <v>-2450</v>
      </c>
      <c r="K1929" s="83" t="str">
        <f>IFERROR(IFERROR(VLOOKUP(I1929,'DE-PARA'!B:D,3,0),VLOOKUP(I1929,'DE-PARA'!C:D,2,0)),"NÃO ENCONTRADO")</f>
        <v>Serviços</v>
      </c>
      <c r="L1929" s="50" t="str">
        <f>VLOOKUP(K1929,'Base -Receita-Despesa'!$B:$P,1,FALSE)</f>
        <v>Serviços</v>
      </c>
    </row>
    <row r="1930" spans="1:12" ht="15" customHeight="1" x14ac:dyDescent="0.3">
      <c r="A1930" s="82" t="str">
        <f t="shared" si="60"/>
        <v>2016</v>
      </c>
      <c r="B1930" s="72" t="s">
        <v>131</v>
      </c>
      <c r="C1930" s="73" t="s">
        <v>132</v>
      </c>
      <c r="D1930" s="74" t="str">
        <f t="shared" si="61"/>
        <v>ago/2016</v>
      </c>
      <c r="E1930" s="53">
        <v>42592</v>
      </c>
      <c r="F1930" s="75"/>
      <c r="G1930" s="72"/>
      <c r="H1930" s="49" t="s">
        <v>517</v>
      </c>
      <c r="I1930" s="49" t="s">
        <v>159</v>
      </c>
      <c r="J1930" s="76">
        <v>-1484.3</v>
      </c>
      <c r="K1930" s="83" t="str">
        <f>IFERROR(IFERROR(VLOOKUP(I1930,'DE-PARA'!B:D,3,0),VLOOKUP(I1930,'DE-PARA'!C:D,2,0)),"NÃO ENCONTRADO")</f>
        <v>Materiais</v>
      </c>
      <c r="L1930" s="50" t="str">
        <f>VLOOKUP(K1930,'Base -Receita-Despesa'!$B:$P,1,FALSE)</f>
        <v>Materiais</v>
      </c>
    </row>
    <row r="1931" spans="1:12" ht="15" customHeight="1" x14ac:dyDescent="0.3">
      <c r="A1931" s="82" t="str">
        <f t="shared" si="60"/>
        <v>2016</v>
      </c>
      <c r="B1931" s="72" t="s">
        <v>131</v>
      </c>
      <c r="C1931" s="73" t="s">
        <v>132</v>
      </c>
      <c r="D1931" s="74" t="str">
        <f t="shared" si="61"/>
        <v>ago/2016</v>
      </c>
      <c r="E1931" s="53">
        <v>42592</v>
      </c>
      <c r="F1931" s="75"/>
      <c r="G1931" s="72"/>
      <c r="H1931" s="49" t="s">
        <v>517</v>
      </c>
      <c r="I1931" s="49" t="s">
        <v>159</v>
      </c>
      <c r="J1931" s="76">
        <v>-692.13</v>
      </c>
      <c r="K1931" s="83" t="str">
        <f>IFERROR(IFERROR(VLOOKUP(I1931,'DE-PARA'!B:D,3,0),VLOOKUP(I1931,'DE-PARA'!C:D,2,0)),"NÃO ENCONTRADO")</f>
        <v>Materiais</v>
      </c>
      <c r="L1931" s="50" t="str">
        <f>VLOOKUP(K1931,'Base -Receita-Despesa'!$B:$P,1,FALSE)</f>
        <v>Materiais</v>
      </c>
    </row>
    <row r="1932" spans="1:12" ht="15" customHeight="1" x14ac:dyDescent="0.3">
      <c r="A1932" s="82" t="str">
        <f t="shared" si="60"/>
        <v>2016</v>
      </c>
      <c r="B1932" s="72" t="s">
        <v>131</v>
      </c>
      <c r="C1932" s="73" t="s">
        <v>132</v>
      </c>
      <c r="D1932" s="74" t="str">
        <f t="shared" si="61"/>
        <v>ago/2016</v>
      </c>
      <c r="E1932" s="53">
        <v>42592</v>
      </c>
      <c r="F1932" s="75"/>
      <c r="G1932" s="72"/>
      <c r="H1932" s="49" t="s">
        <v>1055</v>
      </c>
      <c r="I1932" s="49" t="s">
        <v>1056</v>
      </c>
      <c r="J1932" s="76">
        <v>4979.63</v>
      </c>
      <c r="K1932" s="83" t="str">
        <f>IFERROR(IFERROR(VLOOKUP(I1932,'DE-PARA'!B:D,3,0),VLOOKUP(I1932,'DE-PARA'!C:D,2,0)),"NÃO ENCONTRADO")</f>
        <v>ENTRADA CONTA APLICAÇÃO (+)</v>
      </c>
      <c r="L1932" s="50" t="str">
        <f>VLOOKUP(K1932,'Base -Receita-Despesa'!$B:$P,1,FALSE)</f>
        <v>ENTRADA CONTA APLICAÇÃO (+)</v>
      </c>
    </row>
    <row r="1933" spans="1:12" ht="15" customHeight="1" x14ac:dyDescent="0.3">
      <c r="A1933" s="82" t="str">
        <f t="shared" si="60"/>
        <v>2016</v>
      </c>
      <c r="B1933" s="72" t="s">
        <v>131</v>
      </c>
      <c r="C1933" s="73" t="s">
        <v>132</v>
      </c>
      <c r="D1933" s="74" t="str">
        <f t="shared" si="61"/>
        <v>ago/2016</v>
      </c>
      <c r="E1933" s="53">
        <v>42592</v>
      </c>
      <c r="F1933" s="75"/>
      <c r="G1933" s="72"/>
      <c r="H1933" s="49" t="s">
        <v>1423</v>
      </c>
      <c r="I1933" s="49" t="s">
        <v>830</v>
      </c>
      <c r="J1933" s="76">
        <v>-5526.64</v>
      </c>
      <c r="K1933" s="83" t="str">
        <f>IFERROR(IFERROR(VLOOKUP(I1933,'DE-PARA'!B:D,3,0),VLOOKUP(I1933,'DE-PARA'!C:D,2,0)),"NÃO ENCONTRADO")</f>
        <v>Pessoal</v>
      </c>
      <c r="L1933" s="50" t="str">
        <f>VLOOKUP(K1933,'Base -Receita-Despesa'!$B:$P,1,FALSE)</f>
        <v>Pessoal</v>
      </c>
    </row>
    <row r="1934" spans="1:12" ht="15" customHeight="1" x14ac:dyDescent="0.3">
      <c r="A1934" s="82" t="str">
        <f t="shared" si="60"/>
        <v>2016</v>
      </c>
      <c r="B1934" s="72" t="s">
        <v>131</v>
      </c>
      <c r="C1934" s="73" t="s">
        <v>132</v>
      </c>
      <c r="D1934" s="74" t="str">
        <f t="shared" si="61"/>
        <v>ago/2016</v>
      </c>
      <c r="E1934" s="53">
        <v>42592</v>
      </c>
      <c r="F1934" s="75"/>
      <c r="G1934" s="72"/>
      <c r="H1934" s="49" t="s">
        <v>1046</v>
      </c>
      <c r="I1934" s="49" t="s">
        <v>121</v>
      </c>
      <c r="J1934" s="76">
        <v>14373.44</v>
      </c>
      <c r="K1934" s="83" t="s">
        <v>93</v>
      </c>
      <c r="L1934" s="50" t="str">
        <f>VLOOKUP(K1934,'Base -Receita-Despesa'!$B:$P,1,FALSE)</f>
        <v>Transferências da c/c para c/a ou c/p (-)</v>
      </c>
    </row>
    <row r="1935" spans="1:12" ht="15" customHeight="1" x14ac:dyDescent="0.3">
      <c r="A1935" s="82" t="str">
        <f t="shared" si="60"/>
        <v>2016</v>
      </c>
      <c r="B1935" s="72" t="s">
        <v>131</v>
      </c>
      <c r="C1935" s="73" t="s">
        <v>132</v>
      </c>
      <c r="D1935" s="74" t="str">
        <f t="shared" si="61"/>
        <v>ago/2016</v>
      </c>
      <c r="E1935" s="53">
        <v>42593</v>
      </c>
      <c r="F1935" s="75"/>
      <c r="G1935" s="72"/>
      <c r="H1935" s="49" t="s">
        <v>1424</v>
      </c>
      <c r="I1935" s="49" t="s">
        <v>159</v>
      </c>
      <c r="J1935" s="76">
        <v>1.02</v>
      </c>
      <c r="K1935" s="83" t="str">
        <f>IFERROR(IFERROR(VLOOKUP(I1935,'DE-PARA'!B:D,3,0),VLOOKUP(I1935,'DE-PARA'!C:D,2,0)),"NÃO ENCONTRADO")</f>
        <v>Materiais</v>
      </c>
      <c r="L1935" s="50" t="str">
        <f>VLOOKUP(K1935,'Base -Receita-Despesa'!$B:$P,1,FALSE)</f>
        <v>Materiais</v>
      </c>
    </row>
    <row r="1936" spans="1:12" ht="15" customHeight="1" x14ac:dyDescent="0.3">
      <c r="A1936" s="82" t="str">
        <f t="shared" si="60"/>
        <v>2016</v>
      </c>
      <c r="B1936" s="72" t="s">
        <v>131</v>
      </c>
      <c r="C1936" s="73" t="s">
        <v>132</v>
      </c>
      <c r="D1936" s="74" t="str">
        <f t="shared" si="61"/>
        <v>ago/2016</v>
      </c>
      <c r="E1936" s="53">
        <v>42593</v>
      </c>
      <c r="F1936" s="75"/>
      <c r="G1936" s="72"/>
      <c r="H1936" s="49" t="s">
        <v>1324</v>
      </c>
      <c r="I1936" s="49" t="s">
        <v>317</v>
      </c>
      <c r="J1936" s="76">
        <v>-570.75</v>
      </c>
      <c r="K1936" s="83" t="str">
        <f>IFERROR(IFERROR(VLOOKUP(I1936,'DE-PARA'!B:D,3,0),VLOOKUP(I1936,'DE-PARA'!C:D,2,0)),"NÃO ENCONTRADO")</f>
        <v>Investimentos</v>
      </c>
      <c r="L1936" s="50" t="str">
        <f>VLOOKUP(K1936,'Base -Receita-Despesa'!$B:$P,1,FALSE)</f>
        <v>Investimentos</v>
      </c>
    </row>
    <row r="1937" spans="1:12" ht="15" customHeight="1" x14ac:dyDescent="0.3">
      <c r="A1937" s="82" t="str">
        <f t="shared" si="60"/>
        <v>2016</v>
      </c>
      <c r="B1937" s="72" t="s">
        <v>131</v>
      </c>
      <c r="C1937" s="73" t="s">
        <v>132</v>
      </c>
      <c r="D1937" s="74" t="str">
        <f t="shared" si="61"/>
        <v>ago/2016</v>
      </c>
      <c r="E1937" s="53">
        <v>42593</v>
      </c>
      <c r="F1937" s="75"/>
      <c r="G1937" s="72"/>
      <c r="H1937" s="49" t="s">
        <v>1425</v>
      </c>
      <c r="I1937" s="49" t="s">
        <v>124</v>
      </c>
      <c r="J1937" s="76">
        <v>-29.19</v>
      </c>
      <c r="K1937" s="83" t="str">
        <f>IFERROR(IFERROR(VLOOKUP(I1937,'DE-PARA'!B:D,3,0),VLOOKUP(I1937,'DE-PARA'!C:D,2,0)),"NÃO ENCONTRADO")</f>
        <v>Rescisões Trabalhistas</v>
      </c>
      <c r="L1937" s="50" t="str">
        <f>VLOOKUP(K1937,'Base -Receita-Despesa'!$B:$P,1,FALSE)</f>
        <v>Rescisões Trabalhistas</v>
      </c>
    </row>
    <row r="1938" spans="1:12" ht="15" customHeight="1" x14ac:dyDescent="0.3">
      <c r="A1938" s="82" t="str">
        <f t="shared" si="60"/>
        <v>2016</v>
      </c>
      <c r="B1938" s="72" t="s">
        <v>131</v>
      </c>
      <c r="C1938" s="73" t="s">
        <v>132</v>
      </c>
      <c r="D1938" s="74" t="str">
        <f t="shared" si="61"/>
        <v>ago/2016</v>
      </c>
      <c r="E1938" s="53">
        <v>42593</v>
      </c>
      <c r="F1938" s="75"/>
      <c r="G1938" s="72"/>
      <c r="H1938" s="49" t="s">
        <v>1426</v>
      </c>
      <c r="I1938" s="49" t="s">
        <v>168</v>
      </c>
      <c r="J1938" s="76">
        <v>-598.25</v>
      </c>
      <c r="K1938" s="83" t="str">
        <f>IFERROR(IFERROR(VLOOKUP(I1938,'DE-PARA'!B:D,3,0),VLOOKUP(I1938,'DE-PARA'!C:D,2,0)),"NÃO ENCONTRADO")</f>
        <v>Pessoal</v>
      </c>
      <c r="L1938" s="50" t="str">
        <f>VLOOKUP(K1938,'Base -Receita-Despesa'!$B:$P,1,FALSE)</f>
        <v>Pessoal</v>
      </c>
    </row>
    <row r="1939" spans="1:12" ht="15" customHeight="1" x14ac:dyDescent="0.3">
      <c r="A1939" s="82" t="str">
        <f t="shared" si="60"/>
        <v>2016</v>
      </c>
      <c r="B1939" s="72" t="s">
        <v>131</v>
      </c>
      <c r="C1939" s="73" t="s">
        <v>132</v>
      </c>
      <c r="D1939" s="74" t="str">
        <f t="shared" si="61"/>
        <v>ago/2016</v>
      </c>
      <c r="E1939" s="53">
        <v>42593</v>
      </c>
      <c r="F1939" s="75"/>
      <c r="G1939" s="72"/>
      <c r="H1939" s="49" t="s">
        <v>1055</v>
      </c>
      <c r="I1939" s="49" t="s">
        <v>1056</v>
      </c>
      <c r="J1939" s="76">
        <v>4697.49</v>
      </c>
      <c r="K1939" s="83" t="str">
        <f>IFERROR(IFERROR(VLOOKUP(I1939,'DE-PARA'!B:D,3,0),VLOOKUP(I1939,'DE-PARA'!C:D,2,0)),"NÃO ENCONTRADO")</f>
        <v>ENTRADA CONTA APLICAÇÃO (+)</v>
      </c>
      <c r="L1939" s="50" t="str">
        <f>VLOOKUP(K1939,'Base -Receita-Despesa'!$B:$P,1,FALSE)</f>
        <v>ENTRADA CONTA APLICAÇÃO (+)</v>
      </c>
    </row>
    <row r="1940" spans="1:12" ht="15" customHeight="1" x14ac:dyDescent="0.3">
      <c r="A1940" s="82" t="str">
        <f t="shared" si="60"/>
        <v>2016</v>
      </c>
      <c r="B1940" s="72" t="s">
        <v>131</v>
      </c>
      <c r="C1940" s="73" t="s">
        <v>132</v>
      </c>
      <c r="D1940" s="74" t="str">
        <f t="shared" si="61"/>
        <v>ago/2016</v>
      </c>
      <c r="E1940" s="53">
        <v>42593</v>
      </c>
      <c r="F1940" s="75"/>
      <c r="G1940" s="72"/>
      <c r="H1940" s="49" t="s">
        <v>1427</v>
      </c>
      <c r="I1940" s="49" t="s">
        <v>159</v>
      </c>
      <c r="J1940" s="76">
        <v>-1642.84</v>
      </c>
      <c r="K1940" s="83" t="str">
        <f>IFERROR(IFERROR(VLOOKUP(I1940,'DE-PARA'!B:D,3,0),VLOOKUP(I1940,'DE-PARA'!C:D,2,0)),"NÃO ENCONTRADO")</f>
        <v>Materiais</v>
      </c>
      <c r="L1940" s="50" t="str">
        <f>VLOOKUP(K1940,'Base -Receita-Despesa'!$B:$P,1,FALSE)</f>
        <v>Materiais</v>
      </c>
    </row>
    <row r="1941" spans="1:12" ht="15" customHeight="1" x14ac:dyDescent="0.3">
      <c r="A1941" s="82" t="str">
        <f t="shared" si="60"/>
        <v>2016</v>
      </c>
      <c r="B1941" s="72" t="s">
        <v>131</v>
      </c>
      <c r="C1941" s="73" t="s">
        <v>132</v>
      </c>
      <c r="D1941" s="74" t="str">
        <f t="shared" si="61"/>
        <v>ago/2016</v>
      </c>
      <c r="E1941" s="53">
        <v>42593</v>
      </c>
      <c r="F1941" s="75"/>
      <c r="G1941" s="72"/>
      <c r="H1941" s="49" t="s">
        <v>1428</v>
      </c>
      <c r="I1941" s="49" t="s">
        <v>168</v>
      </c>
      <c r="J1941" s="76">
        <v>-857.36</v>
      </c>
      <c r="K1941" s="83" t="str">
        <f>IFERROR(IFERROR(VLOOKUP(I1941,'DE-PARA'!B:D,3,0),VLOOKUP(I1941,'DE-PARA'!C:D,2,0)),"NÃO ENCONTRADO")</f>
        <v>Pessoal</v>
      </c>
      <c r="L1941" s="50" t="str">
        <f>VLOOKUP(K1941,'Base -Receita-Despesa'!$B:$P,1,FALSE)</f>
        <v>Pessoal</v>
      </c>
    </row>
    <row r="1942" spans="1:12" ht="15" customHeight="1" x14ac:dyDescent="0.3">
      <c r="A1942" s="82" t="str">
        <f t="shared" si="60"/>
        <v>2016</v>
      </c>
      <c r="B1942" s="72" t="s">
        <v>131</v>
      </c>
      <c r="C1942" s="73" t="s">
        <v>132</v>
      </c>
      <c r="D1942" s="74" t="str">
        <f t="shared" si="61"/>
        <v>ago/2016</v>
      </c>
      <c r="E1942" s="53">
        <v>42593</v>
      </c>
      <c r="F1942" s="75"/>
      <c r="G1942" s="72"/>
      <c r="H1942" s="49" t="s">
        <v>1429</v>
      </c>
      <c r="I1942" s="49" t="s">
        <v>168</v>
      </c>
      <c r="J1942" s="76">
        <v>-1000.12</v>
      </c>
      <c r="K1942" s="83" t="str">
        <f>IFERROR(IFERROR(VLOOKUP(I1942,'DE-PARA'!B:D,3,0),VLOOKUP(I1942,'DE-PARA'!C:D,2,0)),"NÃO ENCONTRADO")</f>
        <v>Pessoal</v>
      </c>
      <c r="L1942" s="50" t="str">
        <f>VLOOKUP(K1942,'Base -Receita-Despesa'!$B:$P,1,FALSE)</f>
        <v>Pessoal</v>
      </c>
    </row>
    <row r="1943" spans="1:12" ht="15" customHeight="1" x14ac:dyDescent="0.3">
      <c r="A1943" s="82" t="str">
        <f t="shared" si="60"/>
        <v>2016</v>
      </c>
      <c r="B1943" s="72" t="s">
        <v>131</v>
      </c>
      <c r="C1943" s="73" t="s">
        <v>132</v>
      </c>
      <c r="D1943" s="74" t="str">
        <f t="shared" si="61"/>
        <v>ago/2016</v>
      </c>
      <c r="E1943" s="53">
        <v>42594</v>
      </c>
      <c r="F1943" s="75"/>
      <c r="G1943" s="72"/>
      <c r="H1943" s="49" t="s">
        <v>187</v>
      </c>
      <c r="I1943" s="49" t="s">
        <v>159</v>
      </c>
      <c r="J1943" s="76">
        <v>-2204.6</v>
      </c>
      <c r="K1943" s="83" t="str">
        <f>IFERROR(IFERROR(VLOOKUP(I1943,'DE-PARA'!B:D,3,0),VLOOKUP(I1943,'DE-PARA'!C:D,2,0)),"NÃO ENCONTRADO")</f>
        <v>Materiais</v>
      </c>
      <c r="L1943" s="50" t="str">
        <f>VLOOKUP(K1943,'Base -Receita-Despesa'!$B:$P,1,FALSE)</f>
        <v>Materiais</v>
      </c>
    </row>
    <row r="1944" spans="1:12" ht="15" customHeight="1" x14ac:dyDescent="0.3">
      <c r="A1944" s="82" t="str">
        <f t="shared" si="60"/>
        <v>2016</v>
      </c>
      <c r="B1944" s="72" t="s">
        <v>131</v>
      </c>
      <c r="C1944" s="73" t="s">
        <v>132</v>
      </c>
      <c r="D1944" s="74" t="str">
        <f t="shared" si="61"/>
        <v>ago/2016</v>
      </c>
      <c r="E1944" s="53">
        <v>42594</v>
      </c>
      <c r="F1944" s="75"/>
      <c r="G1944" s="72"/>
      <c r="H1944" s="49" t="s">
        <v>187</v>
      </c>
      <c r="I1944" s="49" t="s">
        <v>159</v>
      </c>
      <c r="J1944" s="76">
        <v>-1775.9</v>
      </c>
      <c r="K1944" s="83" t="str">
        <f>IFERROR(IFERROR(VLOOKUP(I1944,'DE-PARA'!B:D,3,0),VLOOKUP(I1944,'DE-PARA'!C:D,2,0)),"NÃO ENCONTRADO")</f>
        <v>Materiais</v>
      </c>
      <c r="L1944" s="50" t="str">
        <f>VLOOKUP(K1944,'Base -Receita-Despesa'!$B:$P,1,FALSE)</f>
        <v>Materiais</v>
      </c>
    </row>
    <row r="1945" spans="1:12" ht="15" customHeight="1" x14ac:dyDescent="0.3">
      <c r="A1945" s="82" t="str">
        <f t="shared" si="60"/>
        <v>2016</v>
      </c>
      <c r="B1945" s="72" t="s">
        <v>131</v>
      </c>
      <c r="C1945" s="73" t="s">
        <v>132</v>
      </c>
      <c r="D1945" s="74" t="str">
        <f t="shared" si="61"/>
        <v>ago/2016</v>
      </c>
      <c r="E1945" s="53">
        <v>42594</v>
      </c>
      <c r="F1945" s="75"/>
      <c r="G1945" s="72"/>
      <c r="H1945" s="49" t="s">
        <v>187</v>
      </c>
      <c r="I1945" s="49" t="s">
        <v>159</v>
      </c>
      <c r="J1945" s="76">
        <v>-370</v>
      </c>
      <c r="K1945" s="83" t="str">
        <f>IFERROR(IFERROR(VLOOKUP(I1945,'DE-PARA'!B:D,3,0),VLOOKUP(I1945,'DE-PARA'!C:D,2,0)),"NÃO ENCONTRADO")</f>
        <v>Materiais</v>
      </c>
      <c r="L1945" s="50" t="str">
        <f>VLOOKUP(K1945,'Base -Receita-Despesa'!$B:$P,1,FALSE)</f>
        <v>Materiais</v>
      </c>
    </row>
    <row r="1946" spans="1:12" ht="15" customHeight="1" x14ac:dyDescent="0.3">
      <c r="A1946" s="82" t="str">
        <f t="shared" si="60"/>
        <v>2016</v>
      </c>
      <c r="B1946" s="72" t="s">
        <v>249</v>
      </c>
      <c r="C1946" s="73" t="s">
        <v>132</v>
      </c>
      <c r="D1946" s="74" t="str">
        <f t="shared" si="61"/>
        <v>ago/2016</v>
      </c>
      <c r="E1946" s="53">
        <v>42594</v>
      </c>
      <c r="F1946" s="75" t="s">
        <v>1399</v>
      </c>
      <c r="G1946" s="72"/>
      <c r="H1946" s="49" t="s">
        <v>594</v>
      </c>
      <c r="I1946" s="49" t="s">
        <v>1048</v>
      </c>
      <c r="J1946" s="76">
        <v>-70000</v>
      </c>
      <c r="K1946" s="83" t="str">
        <f>IFERROR(IFERROR(VLOOKUP(I1946,'DE-PARA'!B:D,3,0),VLOOKUP(I1946,'DE-PARA'!C:D,2,0)),"NÃO ENCONTRADO")</f>
        <v>Saídas Da C/A Por Regates (-)</v>
      </c>
      <c r="L1946" s="50" t="str">
        <f>VLOOKUP(K1946,'Base -Receita-Despesa'!$B:$P,1,FALSE)</f>
        <v>SAÍDAS DA C/A POR REGATES (-)</v>
      </c>
    </row>
    <row r="1947" spans="1:12" ht="15" customHeight="1" x14ac:dyDescent="0.3">
      <c r="A1947" s="82" t="str">
        <f t="shared" si="60"/>
        <v>2016</v>
      </c>
      <c r="B1947" s="72" t="s">
        <v>249</v>
      </c>
      <c r="C1947" s="73" t="s">
        <v>132</v>
      </c>
      <c r="D1947" s="74" t="str">
        <f t="shared" si="61"/>
        <v>ago/2016</v>
      </c>
      <c r="E1947" s="53">
        <v>42594</v>
      </c>
      <c r="F1947" s="75" t="s">
        <v>154</v>
      </c>
      <c r="G1947" s="72"/>
      <c r="H1947" s="49" t="s">
        <v>154</v>
      </c>
      <c r="I1947" s="49" t="s">
        <v>1497</v>
      </c>
      <c r="J1947" s="76">
        <v>572133.59</v>
      </c>
      <c r="K1947" s="83" t="str">
        <f>IFERROR(IFERROR(VLOOKUP(I1947,'DE-PARA'!B:D,3,0),VLOOKUP(I1947,'DE-PARA'!C:D,2,0)),"NÃO ENCONTRADO")</f>
        <v>Repasses Contrato de Gestão</v>
      </c>
      <c r="L1947" s="50" t="str">
        <f>VLOOKUP(K1947,'Base -Receita-Despesa'!$B:$P,1,FALSE)</f>
        <v>Repasses Contrato de Gestão</v>
      </c>
    </row>
    <row r="1948" spans="1:12" ht="15" customHeight="1" x14ac:dyDescent="0.3">
      <c r="A1948" s="82" t="str">
        <f t="shared" si="60"/>
        <v>2016</v>
      </c>
      <c r="B1948" s="72" t="s">
        <v>249</v>
      </c>
      <c r="C1948" s="73" t="s">
        <v>132</v>
      </c>
      <c r="D1948" s="74" t="str">
        <f t="shared" si="61"/>
        <v>ago/2016</v>
      </c>
      <c r="E1948" s="53">
        <v>42594</v>
      </c>
      <c r="F1948" s="75" t="s">
        <v>1045</v>
      </c>
      <c r="G1948" s="72"/>
      <c r="H1948" s="49" t="s">
        <v>1243</v>
      </c>
      <c r="I1948" s="49" t="s">
        <v>121</v>
      </c>
      <c r="J1948" s="76">
        <v>-500000</v>
      </c>
      <c r="K1948" s="83" t="s">
        <v>93</v>
      </c>
      <c r="L1948" s="50" t="str">
        <f>VLOOKUP(K1948,'Base -Receita-Despesa'!$B:$P,1,FALSE)</f>
        <v>Transferências da c/c para c/a ou c/p (-)</v>
      </c>
    </row>
    <row r="1949" spans="1:12" ht="15" customHeight="1" x14ac:dyDescent="0.3">
      <c r="A1949" s="82" t="str">
        <f t="shared" si="60"/>
        <v>2016</v>
      </c>
      <c r="B1949" s="72" t="s">
        <v>131</v>
      </c>
      <c r="C1949" s="73" t="s">
        <v>132</v>
      </c>
      <c r="D1949" s="74" t="str">
        <f t="shared" si="61"/>
        <v>ago/2016</v>
      </c>
      <c r="E1949" s="53">
        <v>42594</v>
      </c>
      <c r="F1949" s="75"/>
      <c r="G1949" s="72"/>
      <c r="H1949" s="49" t="s">
        <v>410</v>
      </c>
      <c r="I1949" s="49" t="s">
        <v>115</v>
      </c>
      <c r="J1949" s="76">
        <v>-59195</v>
      </c>
      <c r="K1949" s="83" t="str">
        <f>IFERROR(IFERROR(VLOOKUP(I1949,'DE-PARA'!B:D,3,0),VLOOKUP(I1949,'DE-PARA'!C:D,2,0)),"NÃO ENCONTRADO")</f>
        <v>Serviços</v>
      </c>
      <c r="L1949" s="50" t="str">
        <f>VLOOKUP(K1949,'Base -Receita-Despesa'!$B:$P,1,FALSE)</f>
        <v>Serviços</v>
      </c>
    </row>
    <row r="1950" spans="1:12" ht="15" customHeight="1" x14ac:dyDescent="0.3">
      <c r="A1950" s="82" t="str">
        <f t="shared" si="60"/>
        <v>2016</v>
      </c>
      <c r="B1950" s="72" t="s">
        <v>131</v>
      </c>
      <c r="C1950" s="73" t="s">
        <v>132</v>
      </c>
      <c r="D1950" s="74" t="str">
        <f t="shared" si="61"/>
        <v>ago/2016</v>
      </c>
      <c r="E1950" s="53">
        <v>42594</v>
      </c>
      <c r="F1950" s="75"/>
      <c r="G1950" s="72"/>
      <c r="H1950" s="49" t="s">
        <v>193</v>
      </c>
      <c r="I1950" s="49" t="s">
        <v>194</v>
      </c>
      <c r="J1950" s="76">
        <v>-1488</v>
      </c>
      <c r="K1950" s="83" t="str">
        <f>IFERROR(IFERROR(VLOOKUP(I1950,'DE-PARA'!B:D,3,0),VLOOKUP(I1950,'DE-PARA'!C:D,2,0)),"NÃO ENCONTRADO")</f>
        <v>Despesas com Viagens</v>
      </c>
      <c r="L1950" s="50" t="str">
        <f>VLOOKUP(K1950,'Base -Receita-Despesa'!$B:$P,1,FALSE)</f>
        <v>Despesas com Viagens</v>
      </c>
    </row>
    <row r="1951" spans="1:12" ht="15" customHeight="1" x14ac:dyDescent="0.3">
      <c r="A1951" s="82" t="str">
        <f t="shared" si="60"/>
        <v>2016</v>
      </c>
      <c r="B1951" s="72" t="s">
        <v>131</v>
      </c>
      <c r="C1951" s="73" t="s">
        <v>132</v>
      </c>
      <c r="D1951" s="74" t="str">
        <f t="shared" si="61"/>
        <v>ago/2016</v>
      </c>
      <c r="E1951" s="53">
        <v>42594</v>
      </c>
      <c r="F1951" s="75"/>
      <c r="G1951" s="72"/>
      <c r="H1951" s="49" t="s">
        <v>1088</v>
      </c>
      <c r="I1951" s="49" t="s">
        <v>150</v>
      </c>
      <c r="J1951" s="76">
        <v>-7281.47</v>
      </c>
      <c r="K1951" s="83" t="str">
        <f>IFERROR(IFERROR(VLOOKUP(I1951,'DE-PARA'!B:D,3,0),VLOOKUP(I1951,'DE-PARA'!C:D,2,0)),"NÃO ENCONTRADO")</f>
        <v>Materiais</v>
      </c>
      <c r="L1951" s="50" t="str">
        <f>VLOOKUP(K1951,'Base -Receita-Despesa'!$B:$P,1,FALSE)</f>
        <v>Materiais</v>
      </c>
    </row>
    <row r="1952" spans="1:12" ht="15" customHeight="1" x14ac:dyDescent="0.3">
      <c r="A1952" s="82" t="str">
        <f t="shared" si="60"/>
        <v>2016</v>
      </c>
      <c r="B1952" s="72" t="s">
        <v>131</v>
      </c>
      <c r="C1952" s="73" t="s">
        <v>132</v>
      </c>
      <c r="D1952" s="74" t="str">
        <f t="shared" si="61"/>
        <v>ago/2016</v>
      </c>
      <c r="E1952" s="53">
        <v>42594</v>
      </c>
      <c r="F1952" s="75"/>
      <c r="G1952" s="72"/>
      <c r="H1952" s="49" t="s">
        <v>1088</v>
      </c>
      <c r="I1952" s="49" t="s">
        <v>150</v>
      </c>
      <c r="J1952" s="76">
        <v>-7178.41</v>
      </c>
      <c r="K1952" s="83" t="str">
        <f>IFERROR(IFERROR(VLOOKUP(I1952,'DE-PARA'!B:D,3,0),VLOOKUP(I1952,'DE-PARA'!C:D,2,0)),"NÃO ENCONTRADO")</f>
        <v>Materiais</v>
      </c>
      <c r="L1952" s="50" t="str">
        <f>VLOOKUP(K1952,'Base -Receita-Despesa'!$B:$P,1,FALSE)</f>
        <v>Materiais</v>
      </c>
    </row>
    <row r="1953" spans="1:12" ht="15" customHeight="1" x14ac:dyDescent="0.3">
      <c r="A1953" s="82" t="str">
        <f t="shared" si="60"/>
        <v>2016</v>
      </c>
      <c r="B1953" s="72" t="s">
        <v>131</v>
      </c>
      <c r="C1953" s="73" t="s">
        <v>132</v>
      </c>
      <c r="D1953" s="74" t="str">
        <f t="shared" si="61"/>
        <v>ago/2016</v>
      </c>
      <c r="E1953" s="53">
        <v>42594</v>
      </c>
      <c r="F1953" s="75"/>
      <c r="G1953" s="72"/>
      <c r="H1953" s="49" t="s">
        <v>1247</v>
      </c>
      <c r="I1953" s="49" t="s">
        <v>168</v>
      </c>
      <c r="J1953" s="76">
        <v>-1172.3699999999999</v>
      </c>
      <c r="K1953" s="83" t="str">
        <f>IFERROR(IFERROR(VLOOKUP(I1953,'DE-PARA'!B:D,3,0),VLOOKUP(I1953,'DE-PARA'!C:D,2,0)),"NÃO ENCONTRADO")</f>
        <v>Pessoal</v>
      </c>
      <c r="L1953" s="50" t="str">
        <f>VLOOKUP(K1953,'Base -Receita-Despesa'!$B:$P,1,FALSE)</f>
        <v>Pessoal</v>
      </c>
    </row>
    <row r="1954" spans="1:12" ht="15" customHeight="1" x14ac:dyDescent="0.3">
      <c r="A1954" s="82" t="str">
        <f t="shared" si="60"/>
        <v>2016</v>
      </c>
      <c r="B1954" s="72" t="s">
        <v>131</v>
      </c>
      <c r="C1954" s="73" t="s">
        <v>132</v>
      </c>
      <c r="D1954" s="74" t="str">
        <f t="shared" si="61"/>
        <v>ago/2016</v>
      </c>
      <c r="E1954" s="53">
        <v>42594</v>
      </c>
      <c r="F1954" s="75"/>
      <c r="G1954" s="72"/>
      <c r="H1954" s="49" t="s">
        <v>594</v>
      </c>
      <c r="I1954" s="49" t="s">
        <v>1048</v>
      </c>
      <c r="J1954" s="76">
        <v>-200000</v>
      </c>
      <c r="K1954" s="83" t="str">
        <f>IFERROR(IFERROR(VLOOKUP(I1954,'DE-PARA'!B:D,3,0),VLOOKUP(I1954,'DE-PARA'!C:D,2,0)),"NÃO ENCONTRADO")</f>
        <v>Saídas Da C/A Por Regates (-)</v>
      </c>
      <c r="L1954" s="50" t="str">
        <f>VLOOKUP(K1954,'Base -Receita-Despesa'!$B:$P,1,FALSE)</f>
        <v>SAÍDAS DA C/A POR REGATES (-)</v>
      </c>
    </row>
    <row r="1955" spans="1:12" ht="15" customHeight="1" x14ac:dyDescent="0.3">
      <c r="A1955" s="82" t="str">
        <f t="shared" si="60"/>
        <v>2016</v>
      </c>
      <c r="B1955" s="72" t="s">
        <v>131</v>
      </c>
      <c r="C1955" s="73" t="s">
        <v>132</v>
      </c>
      <c r="D1955" s="74" t="str">
        <f t="shared" si="61"/>
        <v>ago/2016</v>
      </c>
      <c r="E1955" s="53">
        <v>42594</v>
      </c>
      <c r="F1955" s="75"/>
      <c r="G1955" s="72"/>
      <c r="H1955" s="49" t="s">
        <v>1090</v>
      </c>
      <c r="I1955" s="49" t="s">
        <v>515</v>
      </c>
      <c r="J1955" s="76">
        <v>-15000</v>
      </c>
      <c r="K1955" s="83" t="str">
        <f>IFERROR(IFERROR(VLOOKUP(I1955,'DE-PARA'!B:D,3,0),VLOOKUP(I1955,'DE-PARA'!C:D,2,0)),"NÃO ENCONTRADO")</f>
        <v>Serviços</v>
      </c>
      <c r="L1955" s="50" t="str">
        <f>VLOOKUP(K1955,'Base -Receita-Despesa'!$B:$P,1,FALSE)</f>
        <v>Serviços</v>
      </c>
    </row>
    <row r="1956" spans="1:12" ht="15" customHeight="1" x14ac:dyDescent="0.3">
      <c r="A1956" s="82" t="str">
        <f t="shared" si="60"/>
        <v>2016</v>
      </c>
      <c r="B1956" s="72" t="s">
        <v>131</v>
      </c>
      <c r="C1956" s="73" t="s">
        <v>132</v>
      </c>
      <c r="D1956" s="74" t="str">
        <f t="shared" si="61"/>
        <v>ago/2016</v>
      </c>
      <c r="E1956" s="53">
        <v>42594</v>
      </c>
      <c r="F1956" s="75"/>
      <c r="G1956" s="72"/>
      <c r="H1956" s="49" t="s">
        <v>1092</v>
      </c>
      <c r="I1956" s="49" t="s">
        <v>150</v>
      </c>
      <c r="J1956" s="76">
        <v>-1389.59</v>
      </c>
      <c r="K1956" s="83" t="str">
        <f>IFERROR(IFERROR(VLOOKUP(I1956,'DE-PARA'!B:D,3,0),VLOOKUP(I1956,'DE-PARA'!C:D,2,0)),"NÃO ENCONTRADO")</f>
        <v>Materiais</v>
      </c>
      <c r="L1956" s="50" t="str">
        <f>VLOOKUP(K1956,'Base -Receita-Despesa'!$B:$P,1,FALSE)</f>
        <v>Materiais</v>
      </c>
    </row>
    <row r="1957" spans="1:12" ht="15" customHeight="1" x14ac:dyDescent="0.3">
      <c r="A1957" s="82" t="str">
        <f t="shared" si="60"/>
        <v>2016</v>
      </c>
      <c r="B1957" s="72" t="s">
        <v>131</v>
      </c>
      <c r="C1957" s="73" t="s">
        <v>132</v>
      </c>
      <c r="D1957" s="74" t="str">
        <f t="shared" si="61"/>
        <v>ago/2016</v>
      </c>
      <c r="E1957" s="53">
        <v>42594</v>
      </c>
      <c r="F1957" s="75"/>
      <c r="G1957" s="72"/>
      <c r="H1957" s="49" t="s">
        <v>1083</v>
      </c>
      <c r="I1957" s="49" t="s">
        <v>168</v>
      </c>
      <c r="J1957" s="76">
        <v>-6079.22</v>
      </c>
      <c r="K1957" s="83" t="str">
        <f>IFERROR(IFERROR(VLOOKUP(I1957,'DE-PARA'!B:D,3,0),VLOOKUP(I1957,'DE-PARA'!C:D,2,0)),"NÃO ENCONTRADO")</f>
        <v>Pessoal</v>
      </c>
      <c r="L1957" s="50" t="str">
        <f>VLOOKUP(K1957,'Base -Receita-Despesa'!$B:$P,1,FALSE)</f>
        <v>Pessoal</v>
      </c>
    </row>
    <row r="1958" spans="1:12" ht="15" customHeight="1" x14ac:dyDescent="0.3">
      <c r="A1958" s="82" t="str">
        <f t="shared" si="60"/>
        <v>2016</v>
      </c>
      <c r="B1958" s="72" t="s">
        <v>131</v>
      </c>
      <c r="C1958" s="73" t="s">
        <v>132</v>
      </c>
      <c r="D1958" s="74" t="str">
        <f t="shared" si="61"/>
        <v>ago/2016</v>
      </c>
      <c r="E1958" s="53">
        <v>42594</v>
      </c>
      <c r="F1958" s="75"/>
      <c r="G1958" s="72"/>
      <c r="H1958" s="49" t="s">
        <v>161</v>
      </c>
      <c r="I1958" s="49" t="s">
        <v>159</v>
      </c>
      <c r="J1958" s="76">
        <v>-1447.8</v>
      </c>
      <c r="K1958" s="83" t="str">
        <f>IFERROR(IFERROR(VLOOKUP(I1958,'DE-PARA'!B:D,3,0),VLOOKUP(I1958,'DE-PARA'!C:D,2,0)),"NÃO ENCONTRADO")</f>
        <v>Materiais</v>
      </c>
      <c r="L1958" s="50" t="str">
        <f>VLOOKUP(K1958,'Base -Receita-Despesa'!$B:$P,1,FALSE)</f>
        <v>Materiais</v>
      </c>
    </row>
    <row r="1959" spans="1:12" ht="15" customHeight="1" x14ac:dyDescent="0.3">
      <c r="A1959" s="82" t="str">
        <f t="shared" si="60"/>
        <v>2016</v>
      </c>
      <c r="B1959" s="72" t="s">
        <v>131</v>
      </c>
      <c r="C1959" s="73" t="s">
        <v>132</v>
      </c>
      <c r="D1959" s="74" t="str">
        <f t="shared" si="61"/>
        <v>ago/2016</v>
      </c>
      <c r="E1959" s="53">
        <v>42594</v>
      </c>
      <c r="F1959" s="75"/>
      <c r="G1959" s="72"/>
      <c r="H1959" s="49" t="s">
        <v>161</v>
      </c>
      <c r="I1959" s="49" t="s">
        <v>159</v>
      </c>
      <c r="J1959" s="76">
        <v>-1302.67</v>
      </c>
      <c r="K1959" s="83" t="str">
        <f>IFERROR(IFERROR(VLOOKUP(I1959,'DE-PARA'!B:D,3,0),VLOOKUP(I1959,'DE-PARA'!C:D,2,0)),"NÃO ENCONTRADO")</f>
        <v>Materiais</v>
      </c>
      <c r="L1959" s="50" t="str">
        <f>VLOOKUP(K1959,'Base -Receita-Despesa'!$B:$P,1,FALSE)</f>
        <v>Materiais</v>
      </c>
    </row>
    <row r="1960" spans="1:12" ht="15" customHeight="1" x14ac:dyDescent="0.3">
      <c r="A1960" s="82" t="str">
        <f t="shared" si="60"/>
        <v>2016</v>
      </c>
      <c r="B1960" s="72" t="s">
        <v>131</v>
      </c>
      <c r="C1960" s="73" t="s">
        <v>132</v>
      </c>
      <c r="D1960" s="74" t="str">
        <f t="shared" si="61"/>
        <v>ago/2016</v>
      </c>
      <c r="E1960" s="53">
        <v>42594</v>
      </c>
      <c r="F1960" s="75"/>
      <c r="G1960" s="72"/>
      <c r="H1960" s="49" t="s">
        <v>161</v>
      </c>
      <c r="I1960" s="49" t="s">
        <v>159</v>
      </c>
      <c r="J1960" s="76">
        <v>-1187.74</v>
      </c>
      <c r="K1960" s="83" t="str">
        <f>IFERROR(IFERROR(VLOOKUP(I1960,'DE-PARA'!B:D,3,0),VLOOKUP(I1960,'DE-PARA'!C:D,2,0)),"NÃO ENCONTRADO")</f>
        <v>Materiais</v>
      </c>
      <c r="L1960" s="50" t="str">
        <f>VLOOKUP(K1960,'Base -Receita-Despesa'!$B:$P,1,FALSE)</f>
        <v>Materiais</v>
      </c>
    </row>
    <row r="1961" spans="1:12" ht="15" customHeight="1" x14ac:dyDescent="0.3">
      <c r="A1961" s="82" t="str">
        <f t="shared" si="60"/>
        <v>2016</v>
      </c>
      <c r="B1961" s="72" t="s">
        <v>131</v>
      </c>
      <c r="C1961" s="73" t="s">
        <v>132</v>
      </c>
      <c r="D1961" s="74" t="str">
        <f t="shared" si="61"/>
        <v>ago/2016</v>
      </c>
      <c r="E1961" s="53">
        <v>42594</v>
      </c>
      <c r="F1961" s="75"/>
      <c r="G1961" s="72"/>
      <c r="H1961" s="49" t="s">
        <v>161</v>
      </c>
      <c r="I1961" s="49" t="s">
        <v>159</v>
      </c>
      <c r="J1961" s="76">
        <v>-1146.1300000000001</v>
      </c>
      <c r="K1961" s="83" t="str">
        <f>IFERROR(IFERROR(VLOOKUP(I1961,'DE-PARA'!B:D,3,0),VLOOKUP(I1961,'DE-PARA'!C:D,2,0)),"NÃO ENCONTRADO")</f>
        <v>Materiais</v>
      </c>
      <c r="L1961" s="50" t="str">
        <f>VLOOKUP(K1961,'Base -Receita-Despesa'!$B:$P,1,FALSE)</f>
        <v>Materiais</v>
      </c>
    </row>
    <row r="1962" spans="1:12" ht="15" customHeight="1" x14ac:dyDescent="0.3">
      <c r="A1962" s="82" t="str">
        <f t="shared" si="60"/>
        <v>2016</v>
      </c>
      <c r="B1962" s="72" t="s">
        <v>131</v>
      </c>
      <c r="C1962" s="73" t="s">
        <v>132</v>
      </c>
      <c r="D1962" s="74" t="str">
        <f t="shared" si="61"/>
        <v>ago/2016</v>
      </c>
      <c r="E1962" s="53">
        <v>42594</v>
      </c>
      <c r="F1962" s="75"/>
      <c r="G1962" s="72"/>
      <c r="H1962" s="49" t="s">
        <v>161</v>
      </c>
      <c r="I1962" s="49" t="s">
        <v>159</v>
      </c>
      <c r="J1962" s="76">
        <v>-801.92</v>
      </c>
      <c r="K1962" s="83" t="str">
        <f>IFERROR(IFERROR(VLOOKUP(I1962,'DE-PARA'!B:D,3,0),VLOOKUP(I1962,'DE-PARA'!C:D,2,0)),"NÃO ENCONTRADO")</f>
        <v>Materiais</v>
      </c>
      <c r="L1962" s="50" t="str">
        <f>VLOOKUP(K1962,'Base -Receita-Despesa'!$B:$P,1,FALSE)</f>
        <v>Materiais</v>
      </c>
    </row>
    <row r="1963" spans="1:12" ht="15" customHeight="1" x14ac:dyDescent="0.3">
      <c r="A1963" s="82" t="str">
        <f t="shared" si="60"/>
        <v>2016</v>
      </c>
      <c r="B1963" s="72" t="s">
        <v>131</v>
      </c>
      <c r="C1963" s="73" t="s">
        <v>132</v>
      </c>
      <c r="D1963" s="74" t="str">
        <f t="shared" si="61"/>
        <v>ago/2016</v>
      </c>
      <c r="E1963" s="53">
        <v>42594</v>
      </c>
      <c r="F1963" s="75"/>
      <c r="G1963" s="72"/>
      <c r="H1963" s="49" t="s">
        <v>161</v>
      </c>
      <c r="I1963" s="49" t="s">
        <v>159</v>
      </c>
      <c r="J1963" s="76">
        <v>-577.99</v>
      </c>
      <c r="K1963" s="83" t="str">
        <f>IFERROR(IFERROR(VLOOKUP(I1963,'DE-PARA'!B:D,3,0),VLOOKUP(I1963,'DE-PARA'!C:D,2,0)),"NÃO ENCONTRADO")</f>
        <v>Materiais</v>
      </c>
      <c r="L1963" s="50" t="str">
        <f>VLOOKUP(K1963,'Base -Receita-Despesa'!$B:$P,1,FALSE)</f>
        <v>Materiais</v>
      </c>
    </row>
    <row r="1964" spans="1:12" ht="15" customHeight="1" x14ac:dyDescent="0.3">
      <c r="A1964" s="82" t="str">
        <f t="shared" si="60"/>
        <v>2016</v>
      </c>
      <c r="B1964" s="72" t="s">
        <v>131</v>
      </c>
      <c r="C1964" s="73" t="s">
        <v>132</v>
      </c>
      <c r="D1964" s="74" t="str">
        <f t="shared" si="61"/>
        <v>ago/2016</v>
      </c>
      <c r="E1964" s="53">
        <v>42594</v>
      </c>
      <c r="F1964" s="75"/>
      <c r="G1964" s="72"/>
      <c r="H1964" s="49" t="s">
        <v>161</v>
      </c>
      <c r="I1964" s="49" t="s">
        <v>159</v>
      </c>
      <c r="J1964" s="76">
        <v>-481.52</v>
      </c>
      <c r="K1964" s="83" t="str">
        <f>IFERROR(IFERROR(VLOOKUP(I1964,'DE-PARA'!B:D,3,0),VLOOKUP(I1964,'DE-PARA'!C:D,2,0)),"NÃO ENCONTRADO")</f>
        <v>Materiais</v>
      </c>
      <c r="L1964" s="50" t="str">
        <f>VLOOKUP(K1964,'Base -Receita-Despesa'!$B:$P,1,FALSE)</f>
        <v>Materiais</v>
      </c>
    </row>
    <row r="1965" spans="1:12" ht="15" customHeight="1" x14ac:dyDescent="0.3">
      <c r="A1965" s="82" t="str">
        <f t="shared" si="60"/>
        <v>2016</v>
      </c>
      <c r="B1965" s="72" t="s">
        <v>131</v>
      </c>
      <c r="C1965" s="73" t="s">
        <v>132</v>
      </c>
      <c r="D1965" s="74" t="str">
        <f t="shared" si="61"/>
        <v>ago/2016</v>
      </c>
      <c r="E1965" s="53">
        <v>42594</v>
      </c>
      <c r="F1965" s="75"/>
      <c r="G1965" s="72"/>
      <c r="H1965" s="49" t="s">
        <v>161</v>
      </c>
      <c r="I1965" s="49" t="s">
        <v>159</v>
      </c>
      <c r="J1965" s="76">
        <v>-446.77</v>
      </c>
      <c r="K1965" s="83" t="str">
        <f>IFERROR(IFERROR(VLOOKUP(I1965,'DE-PARA'!B:D,3,0),VLOOKUP(I1965,'DE-PARA'!C:D,2,0)),"NÃO ENCONTRADO")</f>
        <v>Materiais</v>
      </c>
      <c r="L1965" s="50" t="str">
        <f>VLOOKUP(K1965,'Base -Receita-Despesa'!$B:$P,1,FALSE)</f>
        <v>Materiais</v>
      </c>
    </row>
    <row r="1966" spans="1:12" ht="15" customHeight="1" x14ac:dyDescent="0.3">
      <c r="A1966" s="82" t="str">
        <f t="shared" si="60"/>
        <v>2016</v>
      </c>
      <c r="B1966" s="72" t="s">
        <v>131</v>
      </c>
      <c r="C1966" s="73" t="s">
        <v>132</v>
      </c>
      <c r="D1966" s="74" t="str">
        <f t="shared" si="61"/>
        <v>ago/2016</v>
      </c>
      <c r="E1966" s="53">
        <v>42594</v>
      </c>
      <c r="F1966" s="75"/>
      <c r="G1966" s="72"/>
      <c r="H1966" s="49" t="s">
        <v>161</v>
      </c>
      <c r="I1966" s="49" t="s">
        <v>159</v>
      </c>
      <c r="J1966" s="76">
        <v>-405</v>
      </c>
      <c r="K1966" s="83" t="str">
        <f>IFERROR(IFERROR(VLOOKUP(I1966,'DE-PARA'!B:D,3,0),VLOOKUP(I1966,'DE-PARA'!C:D,2,0)),"NÃO ENCONTRADO")</f>
        <v>Materiais</v>
      </c>
      <c r="L1966" s="50" t="str">
        <f>VLOOKUP(K1966,'Base -Receita-Despesa'!$B:$P,1,FALSE)</f>
        <v>Materiais</v>
      </c>
    </row>
    <row r="1967" spans="1:12" ht="15" customHeight="1" x14ac:dyDescent="0.3">
      <c r="A1967" s="82" t="str">
        <f t="shared" si="60"/>
        <v>2016</v>
      </c>
      <c r="B1967" s="72" t="s">
        <v>131</v>
      </c>
      <c r="C1967" s="73" t="s">
        <v>132</v>
      </c>
      <c r="D1967" s="74" t="str">
        <f t="shared" si="61"/>
        <v>ago/2016</v>
      </c>
      <c r="E1967" s="53">
        <v>42594</v>
      </c>
      <c r="F1967" s="75"/>
      <c r="G1967" s="72"/>
      <c r="H1967" s="49" t="s">
        <v>161</v>
      </c>
      <c r="I1967" s="49" t="s">
        <v>159</v>
      </c>
      <c r="J1967" s="76">
        <v>-390</v>
      </c>
      <c r="K1967" s="83" t="str">
        <f>IFERROR(IFERROR(VLOOKUP(I1967,'DE-PARA'!B:D,3,0),VLOOKUP(I1967,'DE-PARA'!C:D,2,0)),"NÃO ENCONTRADO")</f>
        <v>Materiais</v>
      </c>
      <c r="L1967" s="50" t="str">
        <f>VLOOKUP(K1967,'Base -Receita-Despesa'!$B:$P,1,FALSE)</f>
        <v>Materiais</v>
      </c>
    </row>
    <row r="1968" spans="1:12" ht="15" customHeight="1" x14ac:dyDescent="0.3">
      <c r="A1968" s="82" t="str">
        <f t="shared" si="60"/>
        <v>2016</v>
      </c>
      <c r="B1968" s="72" t="s">
        <v>131</v>
      </c>
      <c r="C1968" s="73" t="s">
        <v>132</v>
      </c>
      <c r="D1968" s="74" t="str">
        <f t="shared" si="61"/>
        <v>ago/2016</v>
      </c>
      <c r="E1968" s="53">
        <v>42594</v>
      </c>
      <c r="F1968" s="75"/>
      <c r="G1968" s="72"/>
      <c r="H1968" s="49" t="s">
        <v>161</v>
      </c>
      <c r="I1968" s="49" t="s">
        <v>159</v>
      </c>
      <c r="J1968" s="76">
        <v>-258.2</v>
      </c>
      <c r="K1968" s="83" t="str">
        <f>IFERROR(IFERROR(VLOOKUP(I1968,'DE-PARA'!B:D,3,0),VLOOKUP(I1968,'DE-PARA'!C:D,2,0)),"NÃO ENCONTRADO")</f>
        <v>Materiais</v>
      </c>
      <c r="L1968" s="50" t="str">
        <f>VLOOKUP(K1968,'Base -Receita-Despesa'!$B:$P,1,FALSE)</f>
        <v>Materiais</v>
      </c>
    </row>
    <row r="1969" spans="1:12" ht="15" customHeight="1" x14ac:dyDescent="0.3">
      <c r="A1969" s="82" t="str">
        <f t="shared" si="60"/>
        <v>2016</v>
      </c>
      <c r="B1969" s="72" t="s">
        <v>131</v>
      </c>
      <c r="C1969" s="73" t="s">
        <v>132</v>
      </c>
      <c r="D1969" s="74" t="str">
        <f t="shared" si="61"/>
        <v>ago/2016</v>
      </c>
      <c r="E1969" s="53">
        <v>42594</v>
      </c>
      <c r="F1969" s="75"/>
      <c r="G1969" s="72"/>
      <c r="H1969" s="49" t="s">
        <v>161</v>
      </c>
      <c r="I1969" s="49" t="s">
        <v>159</v>
      </c>
      <c r="J1969" s="76">
        <v>-94.08</v>
      </c>
      <c r="K1969" s="83" t="str">
        <f>IFERROR(IFERROR(VLOOKUP(I1969,'DE-PARA'!B:D,3,0),VLOOKUP(I1969,'DE-PARA'!C:D,2,0)),"NÃO ENCONTRADO")</f>
        <v>Materiais</v>
      </c>
      <c r="L1969" s="50" t="str">
        <f>VLOOKUP(K1969,'Base -Receita-Despesa'!$B:$P,1,FALSE)</f>
        <v>Materiais</v>
      </c>
    </row>
    <row r="1970" spans="1:12" ht="15" customHeight="1" x14ac:dyDescent="0.3">
      <c r="A1970" s="82" t="str">
        <f t="shared" si="60"/>
        <v>2016</v>
      </c>
      <c r="B1970" s="72" t="s">
        <v>131</v>
      </c>
      <c r="C1970" s="73" t="s">
        <v>132</v>
      </c>
      <c r="D1970" s="74" t="str">
        <f t="shared" si="61"/>
        <v>ago/2016</v>
      </c>
      <c r="E1970" s="53">
        <v>42594</v>
      </c>
      <c r="F1970" s="75"/>
      <c r="G1970" s="72"/>
      <c r="H1970" s="49" t="s">
        <v>161</v>
      </c>
      <c r="I1970" s="49" t="s">
        <v>159</v>
      </c>
      <c r="J1970" s="76">
        <v>-71</v>
      </c>
      <c r="K1970" s="83" t="str">
        <f>IFERROR(IFERROR(VLOOKUP(I1970,'DE-PARA'!B:D,3,0),VLOOKUP(I1970,'DE-PARA'!C:D,2,0)),"NÃO ENCONTRADO")</f>
        <v>Materiais</v>
      </c>
      <c r="L1970" s="50" t="str">
        <f>VLOOKUP(K1970,'Base -Receita-Despesa'!$B:$P,1,FALSE)</f>
        <v>Materiais</v>
      </c>
    </row>
    <row r="1971" spans="1:12" ht="15" customHeight="1" x14ac:dyDescent="0.3">
      <c r="A1971" s="82" t="str">
        <f t="shared" si="60"/>
        <v>2016</v>
      </c>
      <c r="B1971" s="72" t="s">
        <v>131</v>
      </c>
      <c r="C1971" s="73" t="s">
        <v>132</v>
      </c>
      <c r="D1971" s="74" t="str">
        <f t="shared" si="61"/>
        <v>ago/2016</v>
      </c>
      <c r="E1971" s="53">
        <v>42594</v>
      </c>
      <c r="F1971" s="75"/>
      <c r="G1971" s="72"/>
      <c r="H1971" s="49" t="s">
        <v>161</v>
      </c>
      <c r="I1971" s="49" t="s">
        <v>159</v>
      </c>
      <c r="J1971" s="76">
        <v>71</v>
      </c>
      <c r="K1971" s="83" t="str">
        <f>IFERROR(IFERROR(VLOOKUP(I1971,'DE-PARA'!B:D,3,0),VLOOKUP(I1971,'DE-PARA'!C:D,2,0)),"NÃO ENCONTRADO")</f>
        <v>Materiais</v>
      </c>
      <c r="L1971" s="50" t="str">
        <f>VLOOKUP(K1971,'Base -Receita-Despesa'!$B:$P,1,FALSE)</f>
        <v>Materiais</v>
      </c>
    </row>
    <row r="1972" spans="1:12" ht="15" customHeight="1" x14ac:dyDescent="0.3">
      <c r="A1972" s="82" t="str">
        <f t="shared" si="60"/>
        <v>2016</v>
      </c>
      <c r="B1972" s="72" t="s">
        <v>131</v>
      </c>
      <c r="C1972" s="73" t="s">
        <v>132</v>
      </c>
      <c r="D1972" s="74" t="str">
        <f t="shared" si="61"/>
        <v>ago/2016</v>
      </c>
      <c r="E1972" s="53">
        <v>42594</v>
      </c>
      <c r="F1972" s="75"/>
      <c r="G1972" s="72"/>
      <c r="H1972" s="49" t="s">
        <v>161</v>
      </c>
      <c r="I1972" s="49" t="s">
        <v>159</v>
      </c>
      <c r="J1972" s="76">
        <v>94.08</v>
      </c>
      <c r="K1972" s="83" t="str">
        <f>IFERROR(IFERROR(VLOOKUP(I1972,'DE-PARA'!B:D,3,0),VLOOKUP(I1972,'DE-PARA'!C:D,2,0)),"NÃO ENCONTRADO")</f>
        <v>Materiais</v>
      </c>
      <c r="L1972" s="50" t="str">
        <f>VLOOKUP(K1972,'Base -Receita-Despesa'!$B:$P,1,FALSE)</f>
        <v>Materiais</v>
      </c>
    </row>
    <row r="1973" spans="1:12" ht="15" customHeight="1" x14ac:dyDescent="0.3">
      <c r="A1973" s="82" t="str">
        <f t="shared" si="60"/>
        <v>2016</v>
      </c>
      <c r="B1973" s="72" t="s">
        <v>131</v>
      </c>
      <c r="C1973" s="73" t="s">
        <v>132</v>
      </c>
      <c r="D1973" s="74" t="str">
        <f t="shared" si="61"/>
        <v>ago/2016</v>
      </c>
      <c r="E1973" s="53">
        <v>42594</v>
      </c>
      <c r="F1973" s="75"/>
      <c r="G1973" s="72"/>
      <c r="H1973" s="49" t="s">
        <v>161</v>
      </c>
      <c r="I1973" s="49" t="s">
        <v>159</v>
      </c>
      <c r="J1973" s="76">
        <v>258.2</v>
      </c>
      <c r="K1973" s="83" t="str">
        <f>IFERROR(IFERROR(VLOOKUP(I1973,'DE-PARA'!B:D,3,0),VLOOKUP(I1973,'DE-PARA'!C:D,2,0)),"NÃO ENCONTRADO")</f>
        <v>Materiais</v>
      </c>
      <c r="L1973" s="50" t="str">
        <f>VLOOKUP(K1973,'Base -Receita-Despesa'!$B:$P,1,FALSE)</f>
        <v>Materiais</v>
      </c>
    </row>
    <row r="1974" spans="1:12" ht="15" customHeight="1" x14ac:dyDescent="0.3">
      <c r="A1974" s="82" t="str">
        <f t="shared" si="60"/>
        <v>2016</v>
      </c>
      <c r="B1974" s="72" t="s">
        <v>131</v>
      </c>
      <c r="C1974" s="73" t="s">
        <v>132</v>
      </c>
      <c r="D1974" s="74" t="str">
        <f t="shared" si="61"/>
        <v>ago/2016</v>
      </c>
      <c r="E1974" s="53">
        <v>42594</v>
      </c>
      <c r="F1974" s="75"/>
      <c r="G1974" s="72"/>
      <c r="H1974" s="49" t="s">
        <v>161</v>
      </c>
      <c r="I1974" s="49" t="s">
        <v>159</v>
      </c>
      <c r="J1974" s="76">
        <v>390</v>
      </c>
      <c r="K1974" s="83" t="str">
        <f>IFERROR(IFERROR(VLOOKUP(I1974,'DE-PARA'!B:D,3,0),VLOOKUP(I1974,'DE-PARA'!C:D,2,0)),"NÃO ENCONTRADO")</f>
        <v>Materiais</v>
      </c>
      <c r="L1974" s="50" t="str">
        <f>VLOOKUP(K1974,'Base -Receita-Despesa'!$B:$P,1,FALSE)</f>
        <v>Materiais</v>
      </c>
    </row>
    <row r="1975" spans="1:12" ht="15" customHeight="1" x14ac:dyDescent="0.3">
      <c r="A1975" s="82" t="str">
        <f t="shared" si="60"/>
        <v>2016</v>
      </c>
      <c r="B1975" s="72" t="s">
        <v>131</v>
      </c>
      <c r="C1975" s="73" t="s">
        <v>132</v>
      </c>
      <c r="D1975" s="74" t="str">
        <f t="shared" si="61"/>
        <v>ago/2016</v>
      </c>
      <c r="E1975" s="53">
        <v>42594</v>
      </c>
      <c r="F1975" s="75"/>
      <c r="G1975" s="72"/>
      <c r="H1975" s="49" t="s">
        <v>161</v>
      </c>
      <c r="I1975" s="49" t="s">
        <v>159</v>
      </c>
      <c r="J1975" s="76">
        <v>405</v>
      </c>
      <c r="K1975" s="83" t="str">
        <f>IFERROR(IFERROR(VLOOKUP(I1975,'DE-PARA'!B:D,3,0),VLOOKUP(I1975,'DE-PARA'!C:D,2,0)),"NÃO ENCONTRADO")</f>
        <v>Materiais</v>
      </c>
      <c r="L1975" s="50" t="str">
        <f>VLOOKUP(K1975,'Base -Receita-Despesa'!$B:$P,1,FALSE)</f>
        <v>Materiais</v>
      </c>
    </row>
    <row r="1976" spans="1:12" ht="15" customHeight="1" x14ac:dyDescent="0.3">
      <c r="A1976" s="82" t="str">
        <f t="shared" si="60"/>
        <v>2016</v>
      </c>
      <c r="B1976" s="72" t="s">
        <v>131</v>
      </c>
      <c r="C1976" s="73" t="s">
        <v>132</v>
      </c>
      <c r="D1976" s="74" t="str">
        <f t="shared" si="61"/>
        <v>ago/2016</v>
      </c>
      <c r="E1976" s="53">
        <v>42594</v>
      </c>
      <c r="F1976" s="75"/>
      <c r="G1976" s="72"/>
      <c r="H1976" s="49" t="s">
        <v>161</v>
      </c>
      <c r="I1976" s="49" t="s">
        <v>159</v>
      </c>
      <c r="J1976" s="76">
        <v>446.77</v>
      </c>
      <c r="K1976" s="83" t="str">
        <f>IFERROR(IFERROR(VLOOKUP(I1976,'DE-PARA'!B:D,3,0),VLOOKUP(I1976,'DE-PARA'!C:D,2,0)),"NÃO ENCONTRADO")</f>
        <v>Materiais</v>
      </c>
      <c r="L1976" s="50" t="str">
        <f>VLOOKUP(K1976,'Base -Receita-Despesa'!$B:$P,1,FALSE)</f>
        <v>Materiais</v>
      </c>
    </row>
    <row r="1977" spans="1:12" ht="15" customHeight="1" x14ac:dyDescent="0.3">
      <c r="A1977" s="82" t="str">
        <f t="shared" si="60"/>
        <v>2016</v>
      </c>
      <c r="B1977" s="72" t="s">
        <v>131</v>
      </c>
      <c r="C1977" s="73" t="s">
        <v>132</v>
      </c>
      <c r="D1977" s="74" t="str">
        <f t="shared" si="61"/>
        <v>ago/2016</v>
      </c>
      <c r="E1977" s="53">
        <v>42594</v>
      </c>
      <c r="F1977" s="75"/>
      <c r="G1977" s="72"/>
      <c r="H1977" s="49" t="s">
        <v>161</v>
      </c>
      <c r="I1977" s="49" t="s">
        <v>159</v>
      </c>
      <c r="J1977" s="76">
        <v>481.52</v>
      </c>
      <c r="K1977" s="83" t="str">
        <f>IFERROR(IFERROR(VLOOKUP(I1977,'DE-PARA'!B:D,3,0),VLOOKUP(I1977,'DE-PARA'!C:D,2,0)),"NÃO ENCONTRADO")</f>
        <v>Materiais</v>
      </c>
      <c r="L1977" s="50" t="str">
        <f>VLOOKUP(K1977,'Base -Receita-Despesa'!$B:$P,1,FALSE)</f>
        <v>Materiais</v>
      </c>
    </row>
    <row r="1978" spans="1:12" ht="15" customHeight="1" x14ac:dyDescent="0.3">
      <c r="A1978" s="82" t="str">
        <f t="shared" si="60"/>
        <v>2016</v>
      </c>
      <c r="B1978" s="72" t="s">
        <v>131</v>
      </c>
      <c r="C1978" s="73" t="s">
        <v>132</v>
      </c>
      <c r="D1978" s="74" t="str">
        <f t="shared" si="61"/>
        <v>ago/2016</v>
      </c>
      <c r="E1978" s="53">
        <v>42594</v>
      </c>
      <c r="F1978" s="75"/>
      <c r="G1978" s="72"/>
      <c r="H1978" s="49" t="s">
        <v>161</v>
      </c>
      <c r="I1978" s="49" t="s">
        <v>159</v>
      </c>
      <c r="J1978" s="76">
        <v>577.99</v>
      </c>
      <c r="K1978" s="83" t="str">
        <f>IFERROR(IFERROR(VLOOKUP(I1978,'DE-PARA'!B:D,3,0),VLOOKUP(I1978,'DE-PARA'!C:D,2,0)),"NÃO ENCONTRADO")</f>
        <v>Materiais</v>
      </c>
      <c r="L1978" s="50" t="str">
        <f>VLOOKUP(K1978,'Base -Receita-Despesa'!$B:$P,1,FALSE)</f>
        <v>Materiais</v>
      </c>
    </row>
    <row r="1979" spans="1:12" ht="15" customHeight="1" x14ac:dyDescent="0.3">
      <c r="A1979" s="82" t="str">
        <f t="shared" si="60"/>
        <v>2016</v>
      </c>
      <c r="B1979" s="72" t="s">
        <v>131</v>
      </c>
      <c r="C1979" s="73" t="s">
        <v>132</v>
      </c>
      <c r="D1979" s="74" t="str">
        <f t="shared" si="61"/>
        <v>ago/2016</v>
      </c>
      <c r="E1979" s="53">
        <v>42594</v>
      </c>
      <c r="F1979" s="75"/>
      <c r="G1979" s="72"/>
      <c r="H1979" s="49" t="s">
        <v>161</v>
      </c>
      <c r="I1979" s="49" t="s">
        <v>159</v>
      </c>
      <c r="J1979" s="76">
        <v>801.92</v>
      </c>
      <c r="K1979" s="83" t="str">
        <f>IFERROR(IFERROR(VLOOKUP(I1979,'DE-PARA'!B:D,3,0),VLOOKUP(I1979,'DE-PARA'!C:D,2,0)),"NÃO ENCONTRADO")</f>
        <v>Materiais</v>
      </c>
      <c r="L1979" s="50" t="str">
        <f>VLOOKUP(K1979,'Base -Receita-Despesa'!$B:$P,1,FALSE)</f>
        <v>Materiais</v>
      </c>
    </row>
    <row r="1980" spans="1:12" ht="15" customHeight="1" x14ac:dyDescent="0.3">
      <c r="A1980" s="82" t="str">
        <f t="shared" si="60"/>
        <v>2016</v>
      </c>
      <c r="B1980" s="72" t="s">
        <v>131</v>
      </c>
      <c r="C1980" s="73" t="s">
        <v>132</v>
      </c>
      <c r="D1980" s="74" t="str">
        <f t="shared" si="61"/>
        <v>ago/2016</v>
      </c>
      <c r="E1980" s="53">
        <v>42594</v>
      </c>
      <c r="F1980" s="75"/>
      <c r="G1980" s="72"/>
      <c r="H1980" s="49" t="s">
        <v>161</v>
      </c>
      <c r="I1980" s="49" t="s">
        <v>159</v>
      </c>
      <c r="J1980" s="76">
        <v>1146.1300000000001</v>
      </c>
      <c r="K1980" s="83" t="str">
        <f>IFERROR(IFERROR(VLOOKUP(I1980,'DE-PARA'!B:D,3,0),VLOOKUP(I1980,'DE-PARA'!C:D,2,0)),"NÃO ENCONTRADO")</f>
        <v>Materiais</v>
      </c>
      <c r="L1980" s="50" t="str">
        <f>VLOOKUP(K1980,'Base -Receita-Despesa'!$B:$P,1,FALSE)</f>
        <v>Materiais</v>
      </c>
    </row>
    <row r="1981" spans="1:12" ht="15" customHeight="1" x14ac:dyDescent="0.3">
      <c r="A1981" s="82" t="str">
        <f t="shared" si="60"/>
        <v>2016</v>
      </c>
      <c r="B1981" s="72" t="s">
        <v>131</v>
      </c>
      <c r="C1981" s="73" t="s">
        <v>132</v>
      </c>
      <c r="D1981" s="74" t="str">
        <f t="shared" si="61"/>
        <v>ago/2016</v>
      </c>
      <c r="E1981" s="53">
        <v>42594</v>
      </c>
      <c r="F1981" s="75"/>
      <c r="G1981" s="72"/>
      <c r="H1981" s="49" t="s">
        <v>161</v>
      </c>
      <c r="I1981" s="49" t="s">
        <v>159</v>
      </c>
      <c r="J1981" s="76">
        <v>1187.74</v>
      </c>
      <c r="K1981" s="83" t="str">
        <f>IFERROR(IFERROR(VLOOKUP(I1981,'DE-PARA'!B:D,3,0),VLOOKUP(I1981,'DE-PARA'!C:D,2,0)),"NÃO ENCONTRADO")</f>
        <v>Materiais</v>
      </c>
      <c r="L1981" s="50" t="str">
        <f>VLOOKUP(K1981,'Base -Receita-Despesa'!$B:$P,1,FALSE)</f>
        <v>Materiais</v>
      </c>
    </row>
    <row r="1982" spans="1:12" ht="15" customHeight="1" x14ac:dyDescent="0.3">
      <c r="A1982" s="82" t="str">
        <f t="shared" si="60"/>
        <v>2016</v>
      </c>
      <c r="B1982" s="72" t="s">
        <v>131</v>
      </c>
      <c r="C1982" s="73" t="s">
        <v>132</v>
      </c>
      <c r="D1982" s="74" t="str">
        <f t="shared" si="61"/>
        <v>ago/2016</v>
      </c>
      <c r="E1982" s="53">
        <v>42594</v>
      </c>
      <c r="F1982" s="75"/>
      <c r="G1982" s="72"/>
      <c r="H1982" s="49" t="s">
        <v>161</v>
      </c>
      <c r="I1982" s="49" t="s">
        <v>159</v>
      </c>
      <c r="J1982" s="76">
        <v>1302.67</v>
      </c>
      <c r="K1982" s="83" t="str">
        <f>IFERROR(IFERROR(VLOOKUP(I1982,'DE-PARA'!B:D,3,0),VLOOKUP(I1982,'DE-PARA'!C:D,2,0)),"NÃO ENCONTRADO")</f>
        <v>Materiais</v>
      </c>
      <c r="L1982" s="50" t="str">
        <f>VLOOKUP(K1982,'Base -Receita-Despesa'!$B:$P,1,FALSE)</f>
        <v>Materiais</v>
      </c>
    </row>
    <row r="1983" spans="1:12" ht="15" customHeight="1" x14ac:dyDescent="0.3">
      <c r="A1983" s="82" t="str">
        <f t="shared" si="60"/>
        <v>2016</v>
      </c>
      <c r="B1983" s="72" t="s">
        <v>131</v>
      </c>
      <c r="C1983" s="73" t="s">
        <v>132</v>
      </c>
      <c r="D1983" s="74" t="str">
        <f t="shared" si="61"/>
        <v>ago/2016</v>
      </c>
      <c r="E1983" s="53">
        <v>42594</v>
      </c>
      <c r="F1983" s="75"/>
      <c r="G1983" s="72"/>
      <c r="H1983" s="49" t="s">
        <v>161</v>
      </c>
      <c r="I1983" s="49" t="s">
        <v>159</v>
      </c>
      <c r="J1983" s="76">
        <v>1447.8</v>
      </c>
      <c r="K1983" s="83" t="str">
        <f>IFERROR(IFERROR(VLOOKUP(I1983,'DE-PARA'!B:D,3,0),VLOOKUP(I1983,'DE-PARA'!C:D,2,0)),"NÃO ENCONTRADO")</f>
        <v>Materiais</v>
      </c>
      <c r="L1983" s="50" t="str">
        <f>VLOOKUP(K1983,'Base -Receita-Despesa'!$B:$P,1,FALSE)</f>
        <v>Materiais</v>
      </c>
    </row>
    <row r="1984" spans="1:12" ht="15" customHeight="1" x14ac:dyDescent="0.3">
      <c r="A1984" s="82" t="str">
        <f t="shared" si="60"/>
        <v>2016</v>
      </c>
      <c r="B1984" s="72" t="s">
        <v>131</v>
      </c>
      <c r="C1984" s="73" t="s">
        <v>132</v>
      </c>
      <c r="D1984" s="74" t="str">
        <f t="shared" si="61"/>
        <v>ago/2016</v>
      </c>
      <c r="E1984" s="53">
        <v>42594</v>
      </c>
      <c r="F1984" s="75"/>
      <c r="G1984" s="72"/>
      <c r="H1984" s="49" t="s">
        <v>149</v>
      </c>
      <c r="I1984" s="49" t="s">
        <v>129</v>
      </c>
      <c r="J1984" s="76">
        <v>-7.85</v>
      </c>
      <c r="K1984" s="83" t="str">
        <f>IFERROR(IFERROR(VLOOKUP(I1984,'DE-PARA'!B:D,3,0),VLOOKUP(I1984,'DE-PARA'!C:D,2,0)),"NÃO ENCONTRADO")</f>
        <v>Outras Saídas</v>
      </c>
      <c r="L1984" s="50" t="str">
        <f>VLOOKUP(K1984,'Base -Receita-Despesa'!$B:$P,1,FALSE)</f>
        <v>Outras Saídas</v>
      </c>
    </row>
    <row r="1985" spans="1:12" ht="15" customHeight="1" x14ac:dyDescent="0.3">
      <c r="A1985" s="82" t="str">
        <f t="shared" si="60"/>
        <v>2016</v>
      </c>
      <c r="B1985" s="72" t="s">
        <v>131</v>
      </c>
      <c r="C1985" s="73" t="s">
        <v>132</v>
      </c>
      <c r="D1985" s="74" t="str">
        <f t="shared" si="61"/>
        <v>ago/2016</v>
      </c>
      <c r="E1985" s="53">
        <v>42594</v>
      </c>
      <c r="F1985" s="75"/>
      <c r="G1985" s="72"/>
      <c r="H1985" s="49" t="s">
        <v>904</v>
      </c>
      <c r="I1985" s="49" t="s">
        <v>905</v>
      </c>
      <c r="J1985" s="76">
        <v>-789.88</v>
      </c>
      <c r="K1985" s="83" t="str">
        <f>IFERROR(IFERROR(VLOOKUP(I1985,'DE-PARA'!B:D,3,0),VLOOKUP(I1985,'DE-PARA'!C:D,2,0)),"NÃO ENCONTRADO")</f>
        <v>Materiais</v>
      </c>
      <c r="L1985" s="50" t="str">
        <f>VLOOKUP(K1985,'Base -Receita-Despesa'!$B:$P,1,FALSE)</f>
        <v>Materiais</v>
      </c>
    </row>
    <row r="1986" spans="1:12" ht="15" customHeight="1" x14ac:dyDescent="0.3">
      <c r="A1986" s="82" t="str">
        <f t="shared" si="60"/>
        <v>2016</v>
      </c>
      <c r="B1986" s="72" t="s">
        <v>131</v>
      </c>
      <c r="C1986" s="73" t="s">
        <v>132</v>
      </c>
      <c r="D1986" s="74" t="str">
        <f t="shared" si="61"/>
        <v>ago/2016</v>
      </c>
      <c r="E1986" s="53">
        <v>42594</v>
      </c>
      <c r="F1986" s="75"/>
      <c r="G1986" s="72"/>
      <c r="H1986" s="49" t="s">
        <v>1430</v>
      </c>
      <c r="I1986" s="49" t="s">
        <v>168</v>
      </c>
      <c r="J1986" s="76">
        <v>-1132.56</v>
      </c>
      <c r="K1986" s="83" t="str">
        <f>IFERROR(IFERROR(VLOOKUP(I1986,'DE-PARA'!B:D,3,0),VLOOKUP(I1986,'DE-PARA'!C:D,2,0)),"NÃO ENCONTRADO")</f>
        <v>Pessoal</v>
      </c>
      <c r="L1986" s="50" t="str">
        <f>VLOOKUP(K1986,'Base -Receita-Despesa'!$B:$P,1,FALSE)</f>
        <v>Pessoal</v>
      </c>
    </row>
    <row r="1987" spans="1:12" ht="15" customHeight="1" x14ac:dyDescent="0.3">
      <c r="A1987" s="82" t="str">
        <f t="shared" si="60"/>
        <v>2016</v>
      </c>
      <c r="B1987" s="72" t="s">
        <v>131</v>
      </c>
      <c r="C1987" s="73" t="s">
        <v>132</v>
      </c>
      <c r="D1987" s="74" t="str">
        <f t="shared" si="61"/>
        <v>ago/2016</v>
      </c>
      <c r="E1987" s="53">
        <v>42594</v>
      </c>
      <c r="F1987" s="75"/>
      <c r="G1987" s="72"/>
      <c r="H1987" s="49" t="s">
        <v>178</v>
      </c>
      <c r="I1987" s="49" t="s">
        <v>110</v>
      </c>
      <c r="J1987" s="76">
        <v>-2420.52</v>
      </c>
      <c r="K1987" s="83" t="str">
        <f>IFERROR(IFERROR(VLOOKUP(I1987,'DE-PARA'!B:D,3,0),VLOOKUP(I1987,'DE-PARA'!C:D,2,0)),"NÃO ENCONTRADO")</f>
        <v>Serviços</v>
      </c>
      <c r="L1987" s="50" t="str">
        <f>VLOOKUP(K1987,'Base -Receita-Despesa'!$B:$P,1,FALSE)</f>
        <v>Serviços</v>
      </c>
    </row>
    <row r="1988" spans="1:12" ht="15" customHeight="1" x14ac:dyDescent="0.3">
      <c r="A1988" s="82" t="str">
        <f t="shared" ref="A1988:A2051" si="62">IF(K1988="NÃO ENCONTRADO",0,RIGHT(D1988,4))</f>
        <v>2016</v>
      </c>
      <c r="B1988" s="72" t="s">
        <v>131</v>
      </c>
      <c r="C1988" s="73" t="s">
        <v>132</v>
      </c>
      <c r="D1988" s="74" t="str">
        <f t="shared" ref="D1988:D2051" si="63">TEXT(E1988,"mmm/aaaa")</f>
        <v>ago/2016</v>
      </c>
      <c r="E1988" s="53">
        <v>42594</v>
      </c>
      <c r="F1988" s="75"/>
      <c r="G1988" s="72"/>
      <c r="H1988" s="49" t="s">
        <v>1100</v>
      </c>
      <c r="I1988" s="49" t="s">
        <v>150</v>
      </c>
      <c r="J1988" s="76">
        <v>-2654.53</v>
      </c>
      <c r="K1988" s="83" t="str">
        <f>IFERROR(IFERROR(VLOOKUP(I1988,'DE-PARA'!B:D,3,0),VLOOKUP(I1988,'DE-PARA'!C:D,2,0)),"NÃO ENCONTRADO")</f>
        <v>Materiais</v>
      </c>
      <c r="L1988" s="50" t="str">
        <f>VLOOKUP(K1988,'Base -Receita-Despesa'!$B:$P,1,FALSE)</f>
        <v>Materiais</v>
      </c>
    </row>
    <row r="1989" spans="1:12" ht="15" customHeight="1" x14ac:dyDescent="0.3">
      <c r="A1989" s="82" t="str">
        <f t="shared" si="62"/>
        <v>2016</v>
      </c>
      <c r="B1989" s="72" t="s">
        <v>131</v>
      </c>
      <c r="C1989" s="73" t="s">
        <v>132</v>
      </c>
      <c r="D1989" s="74" t="str">
        <f t="shared" si="63"/>
        <v>ago/2016</v>
      </c>
      <c r="E1989" s="53">
        <v>42594</v>
      </c>
      <c r="F1989" s="75"/>
      <c r="G1989" s="72"/>
      <c r="H1989" s="49" t="s">
        <v>1100</v>
      </c>
      <c r="I1989" s="49" t="s">
        <v>150</v>
      </c>
      <c r="J1989" s="76">
        <v>-1750.62</v>
      </c>
      <c r="K1989" s="83" t="str">
        <f>IFERROR(IFERROR(VLOOKUP(I1989,'DE-PARA'!B:D,3,0),VLOOKUP(I1989,'DE-PARA'!C:D,2,0)),"NÃO ENCONTRADO")</f>
        <v>Materiais</v>
      </c>
      <c r="L1989" s="50" t="str">
        <f>VLOOKUP(K1989,'Base -Receita-Despesa'!$B:$P,1,FALSE)</f>
        <v>Materiais</v>
      </c>
    </row>
    <row r="1990" spans="1:12" ht="15" customHeight="1" x14ac:dyDescent="0.3">
      <c r="A1990" s="82" t="str">
        <f t="shared" si="62"/>
        <v>2016</v>
      </c>
      <c r="B1990" s="72" t="s">
        <v>131</v>
      </c>
      <c r="C1990" s="73" t="s">
        <v>132</v>
      </c>
      <c r="D1990" s="74" t="str">
        <f t="shared" si="63"/>
        <v>ago/2016</v>
      </c>
      <c r="E1990" s="53">
        <v>42594</v>
      </c>
      <c r="F1990" s="75"/>
      <c r="G1990" s="72"/>
      <c r="H1990" s="49" t="s">
        <v>1100</v>
      </c>
      <c r="I1990" s="49" t="s">
        <v>150</v>
      </c>
      <c r="J1990" s="76">
        <v>-763.39</v>
      </c>
      <c r="K1990" s="83" t="str">
        <f>IFERROR(IFERROR(VLOOKUP(I1990,'DE-PARA'!B:D,3,0),VLOOKUP(I1990,'DE-PARA'!C:D,2,0)),"NÃO ENCONTRADO")</f>
        <v>Materiais</v>
      </c>
      <c r="L1990" s="50" t="str">
        <f>VLOOKUP(K1990,'Base -Receita-Despesa'!$B:$P,1,FALSE)</f>
        <v>Materiais</v>
      </c>
    </row>
    <row r="1991" spans="1:12" ht="15" customHeight="1" x14ac:dyDescent="0.3">
      <c r="A1991" s="82" t="str">
        <f t="shared" si="62"/>
        <v>2016</v>
      </c>
      <c r="B1991" s="72" t="s">
        <v>131</v>
      </c>
      <c r="C1991" s="73" t="s">
        <v>132</v>
      </c>
      <c r="D1991" s="74" t="str">
        <f t="shared" si="63"/>
        <v>ago/2016</v>
      </c>
      <c r="E1991" s="53">
        <v>42594</v>
      </c>
      <c r="F1991" s="75"/>
      <c r="G1991" s="72"/>
      <c r="H1991" s="49" t="s">
        <v>1100</v>
      </c>
      <c r="I1991" s="49" t="s">
        <v>150</v>
      </c>
      <c r="J1991" s="76">
        <v>-554.25</v>
      </c>
      <c r="K1991" s="83" t="str">
        <f>IFERROR(IFERROR(VLOOKUP(I1991,'DE-PARA'!B:D,3,0),VLOOKUP(I1991,'DE-PARA'!C:D,2,0)),"NÃO ENCONTRADO")</f>
        <v>Materiais</v>
      </c>
      <c r="L1991" s="50" t="str">
        <f>VLOOKUP(K1991,'Base -Receita-Despesa'!$B:$P,1,FALSE)</f>
        <v>Materiais</v>
      </c>
    </row>
    <row r="1992" spans="1:12" ht="15" customHeight="1" x14ac:dyDescent="0.3">
      <c r="A1992" s="82" t="str">
        <f t="shared" si="62"/>
        <v>2016</v>
      </c>
      <c r="B1992" s="72" t="s">
        <v>131</v>
      </c>
      <c r="C1992" s="73" t="s">
        <v>132</v>
      </c>
      <c r="D1992" s="74" t="str">
        <f t="shared" si="63"/>
        <v>ago/2016</v>
      </c>
      <c r="E1992" s="53">
        <v>42594</v>
      </c>
      <c r="F1992" s="75"/>
      <c r="G1992" s="72"/>
      <c r="H1992" s="49" t="s">
        <v>1100</v>
      </c>
      <c r="I1992" s="49" t="s">
        <v>150</v>
      </c>
      <c r="J1992" s="76">
        <v>-440.94</v>
      </c>
      <c r="K1992" s="83" t="str">
        <f>IFERROR(IFERROR(VLOOKUP(I1992,'DE-PARA'!B:D,3,0),VLOOKUP(I1992,'DE-PARA'!C:D,2,0)),"NÃO ENCONTRADO")</f>
        <v>Materiais</v>
      </c>
      <c r="L1992" s="50" t="str">
        <f>VLOOKUP(K1992,'Base -Receita-Despesa'!$B:$P,1,FALSE)</f>
        <v>Materiais</v>
      </c>
    </row>
    <row r="1993" spans="1:12" ht="15" customHeight="1" x14ac:dyDescent="0.3">
      <c r="A1993" s="82" t="str">
        <f t="shared" si="62"/>
        <v>2016</v>
      </c>
      <c r="B1993" s="72" t="s">
        <v>131</v>
      </c>
      <c r="C1993" s="73" t="s">
        <v>132</v>
      </c>
      <c r="D1993" s="74" t="str">
        <f t="shared" si="63"/>
        <v>ago/2016</v>
      </c>
      <c r="E1993" s="53">
        <v>42594</v>
      </c>
      <c r="F1993" s="75"/>
      <c r="G1993" s="72"/>
      <c r="H1993" s="49" t="s">
        <v>1100</v>
      </c>
      <c r="I1993" s="49" t="s">
        <v>150</v>
      </c>
      <c r="J1993" s="76">
        <v>-41.67</v>
      </c>
      <c r="K1993" s="83" t="str">
        <f>IFERROR(IFERROR(VLOOKUP(I1993,'DE-PARA'!B:D,3,0),VLOOKUP(I1993,'DE-PARA'!C:D,2,0)),"NÃO ENCONTRADO")</f>
        <v>Materiais</v>
      </c>
      <c r="L1993" s="50" t="str">
        <f>VLOOKUP(K1993,'Base -Receita-Despesa'!$B:$P,1,FALSE)</f>
        <v>Materiais</v>
      </c>
    </row>
    <row r="1994" spans="1:12" ht="15" customHeight="1" x14ac:dyDescent="0.3">
      <c r="A1994" s="82" t="str">
        <f t="shared" si="62"/>
        <v>2016</v>
      </c>
      <c r="B1994" s="72" t="s">
        <v>131</v>
      </c>
      <c r="C1994" s="73" t="s">
        <v>132</v>
      </c>
      <c r="D1994" s="74" t="str">
        <f t="shared" si="63"/>
        <v>ago/2016</v>
      </c>
      <c r="E1994" s="53">
        <v>42594</v>
      </c>
      <c r="F1994" s="75"/>
      <c r="G1994" s="72"/>
      <c r="H1994" s="49" t="s">
        <v>1415</v>
      </c>
      <c r="I1994" s="49" t="s">
        <v>135</v>
      </c>
      <c r="J1994" s="76">
        <v>-78958.52</v>
      </c>
      <c r="K1994" s="83" t="str">
        <f>IFERROR(IFERROR(VLOOKUP(I1994,'DE-PARA'!B:D,3,0),VLOOKUP(I1994,'DE-PARA'!C:D,2,0)),"NÃO ENCONTRADO")</f>
        <v>Pessoal</v>
      </c>
      <c r="L1994" s="50" t="str">
        <f>VLOOKUP(K1994,'Base -Receita-Despesa'!$B:$P,1,FALSE)</f>
        <v>Pessoal</v>
      </c>
    </row>
    <row r="1995" spans="1:12" ht="15" customHeight="1" x14ac:dyDescent="0.3">
      <c r="A1995" s="82" t="str">
        <f t="shared" si="62"/>
        <v>2016</v>
      </c>
      <c r="B1995" s="72" t="s">
        <v>131</v>
      </c>
      <c r="C1995" s="73" t="s">
        <v>132</v>
      </c>
      <c r="D1995" s="74" t="str">
        <f t="shared" si="63"/>
        <v>ago/2016</v>
      </c>
      <c r="E1995" s="53">
        <v>42594</v>
      </c>
      <c r="F1995" s="75"/>
      <c r="G1995" s="72"/>
      <c r="H1995" s="49" t="s">
        <v>221</v>
      </c>
      <c r="I1995" s="49" t="s">
        <v>110</v>
      </c>
      <c r="J1995" s="76">
        <v>-5760</v>
      </c>
      <c r="K1995" s="83" t="str">
        <f>IFERROR(IFERROR(VLOOKUP(I1995,'DE-PARA'!B:D,3,0),VLOOKUP(I1995,'DE-PARA'!C:D,2,0)),"NÃO ENCONTRADO")</f>
        <v>Serviços</v>
      </c>
      <c r="L1995" s="50" t="str">
        <f>VLOOKUP(K1995,'Base -Receita-Despesa'!$B:$P,1,FALSE)</f>
        <v>Serviços</v>
      </c>
    </row>
    <row r="1996" spans="1:12" ht="15" customHeight="1" x14ac:dyDescent="0.3">
      <c r="A1996" s="82" t="str">
        <f t="shared" si="62"/>
        <v>2016</v>
      </c>
      <c r="B1996" s="72" t="s">
        <v>131</v>
      </c>
      <c r="C1996" s="73" t="s">
        <v>132</v>
      </c>
      <c r="D1996" s="74" t="str">
        <f t="shared" si="63"/>
        <v>ago/2016</v>
      </c>
      <c r="E1996" s="53">
        <v>42594</v>
      </c>
      <c r="F1996" s="75"/>
      <c r="G1996" s="72"/>
      <c r="H1996" s="49" t="s">
        <v>1431</v>
      </c>
      <c r="I1996" s="49" t="s">
        <v>529</v>
      </c>
      <c r="J1996" s="76">
        <v>-97</v>
      </c>
      <c r="K1996" s="83" t="str">
        <f>IFERROR(IFERROR(VLOOKUP(I1996,'DE-PARA'!B:D,3,0),VLOOKUP(I1996,'DE-PARA'!C:D,2,0)),"NÃO ENCONTRADO")</f>
        <v>Tributos, Taxas e Contribuições</v>
      </c>
      <c r="L1996" s="50" t="str">
        <f>VLOOKUP(K1996,'Base -Receita-Despesa'!$B:$P,1,FALSE)</f>
        <v>Tributos, Taxas e Contribuições</v>
      </c>
    </row>
    <row r="1997" spans="1:12" ht="15" customHeight="1" x14ac:dyDescent="0.3">
      <c r="A1997" s="82" t="str">
        <f t="shared" si="62"/>
        <v>2016</v>
      </c>
      <c r="B1997" s="72" t="s">
        <v>131</v>
      </c>
      <c r="C1997" s="73" t="s">
        <v>132</v>
      </c>
      <c r="D1997" s="74" t="str">
        <f t="shared" si="63"/>
        <v>ago/2016</v>
      </c>
      <c r="E1997" s="53">
        <v>42594</v>
      </c>
      <c r="F1997" s="75"/>
      <c r="G1997" s="72"/>
      <c r="H1997" s="49" t="s">
        <v>1432</v>
      </c>
      <c r="I1997" s="49" t="s">
        <v>168</v>
      </c>
      <c r="J1997" s="76">
        <v>-1717.36</v>
      </c>
      <c r="K1997" s="83" t="str">
        <f>IFERROR(IFERROR(VLOOKUP(I1997,'DE-PARA'!B:D,3,0),VLOOKUP(I1997,'DE-PARA'!C:D,2,0)),"NÃO ENCONTRADO")</f>
        <v>Pessoal</v>
      </c>
      <c r="L1997" s="50" t="str">
        <f>VLOOKUP(K1997,'Base -Receita-Despesa'!$B:$P,1,FALSE)</f>
        <v>Pessoal</v>
      </c>
    </row>
    <row r="1998" spans="1:12" ht="15" customHeight="1" x14ac:dyDescent="0.3">
      <c r="A1998" s="82" t="str">
        <f t="shared" si="62"/>
        <v>2016</v>
      </c>
      <c r="B1998" s="72" t="s">
        <v>131</v>
      </c>
      <c r="C1998" s="73" t="s">
        <v>132</v>
      </c>
      <c r="D1998" s="74" t="str">
        <f t="shared" si="63"/>
        <v>ago/2016</v>
      </c>
      <c r="E1998" s="53">
        <v>42594</v>
      </c>
      <c r="F1998" s="75"/>
      <c r="G1998" s="72"/>
      <c r="H1998" s="49" t="s">
        <v>975</v>
      </c>
      <c r="I1998" s="49" t="s">
        <v>114</v>
      </c>
      <c r="J1998" s="76">
        <v>-38862.99</v>
      </c>
      <c r="K1998" s="83" t="str">
        <f>IFERROR(IFERROR(VLOOKUP(I1998,'DE-PARA'!B:D,3,0),VLOOKUP(I1998,'DE-PARA'!C:D,2,0)),"NÃO ENCONTRADO")</f>
        <v>Serviços</v>
      </c>
      <c r="L1998" s="50" t="str">
        <f>VLOOKUP(K1998,'Base -Receita-Despesa'!$B:$P,1,FALSE)</f>
        <v>Serviços</v>
      </c>
    </row>
    <row r="1999" spans="1:12" ht="15" customHeight="1" x14ac:dyDescent="0.3">
      <c r="A1999" s="82" t="str">
        <f t="shared" si="62"/>
        <v>2016</v>
      </c>
      <c r="B1999" s="72" t="s">
        <v>131</v>
      </c>
      <c r="C1999" s="73" t="s">
        <v>132</v>
      </c>
      <c r="D1999" s="74" t="str">
        <f t="shared" si="63"/>
        <v>ago/2016</v>
      </c>
      <c r="E1999" s="53">
        <v>42594</v>
      </c>
      <c r="F1999" s="75"/>
      <c r="G1999" s="72"/>
      <c r="H1999" s="49" t="s">
        <v>1433</v>
      </c>
      <c r="I1999" s="49" t="s">
        <v>168</v>
      </c>
      <c r="J1999" s="76">
        <v>-804.84</v>
      </c>
      <c r="K1999" s="83" t="str">
        <f>IFERROR(IFERROR(VLOOKUP(I1999,'DE-PARA'!B:D,3,0),VLOOKUP(I1999,'DE-PARA'!C:D,2,0)),"NÃO ENCONTRADO")</f>
        <v>Pessoal</v>
      </c>
      <c r="L1999" s="50" t="str">
        <f>VLOOKUP(K1999,'Base -Receita-Despesa'!$B:$P,1,FALSE)</f>
        <v>Pessoal</v>
      </c>
    </row>
    <row r="2000" spans="1:12" ht="15" customHeight="1" x14ac:dyDescent="0.3">
      <c r="A2000" s="82" t="str">
        <f t="shared" si="62"/>
        <v>2016</v>
      </c>
      <c r="B2000" s="72" t="s">
        <v>131</v>
      </c>
      <c r="C2000" s="73" t="s">
        <v>132</v>
      </c>
      <c r="D2000" s="74" t="str">
        <f t="shared" si="63"/>
        <v>ago/2016</v>
      </c>
      <c r="E2000" s="53">
        <v>42594</v>
      </c>
      <c r="F2000" s="75"/>
      <c r="G2000" s="72"/>
      <c r="H2000" s="49" t="s">
        <v>1193</v>
      </c>
      <c r="I2000" s="49" t="s">
        <v>110</v>
      </c>
      <c r="J2000" s="76">
        <v>-22300</v>
      </c>
      <c r="K2000" s="83" t="str">
        <f>IFERROR(IFERROR(VLOOKUP(I2000,'DE-PARA'!B:D,3,0),VLOOKUP(I2000,'DE-PARA'!C:D,2,0)),"NÃO ENCONTRADO")</f>
        <v>Serviços</v>
      </c>
      <c r="L2000" s="50" t="str">
        <f>VLOOKUP(K2000,'Base -Receita-Despesa'!$B:$P,1,FALSE)</f>
        <v>Serviços</v>
      </c>
    </row>
    <row r="2001" spans="1:12" ht="15" customHeight="1" x14ac:dyDescent="0.3">
      <c r="A2001" s="82" t="str">
        <f t="shared" si="62"/>
        <v>2016</v>
      </c>
      <c r="B2001" s="72" t="s">
        <v>131</v>
      </c>
      <c r="C2001" s="73" t="s">
        <v>132</v>
      </c>
      <c r="D2001" s="74" t="str">
        <f t="shared" si="63"/>
        <v>ago/2016</v>
      </c>
      <c r="E2001" s="53">
        <v>42594</v>
      </c>
      <c r="F2001" s="75"/>
      <c r="G2001" s="72"/>
      <c r="H2001" s="49" t="s">
        <v>208</v>
      </c>
      <c r="I2001" s="49" t="s">
        <v>159</v>
      </c>
      <c r="J2001" s="76">
        <v>-889</v>
      </c>
      <c r="K2001" s="83" t="str">
        <f>IFERROR(IFERROR(VLOOKUP(I2001,'DE-PARA'!B:D,3,0),VLOOKUP(I2001,'DE-PARA'!C:D,2,0)),"NÃO ENCONTRADO")</f>
        <v>Materiais</v>
      </c>
      <c r="L2001" s="50" t="str">
        <f>VLOOKUP(K2001,'Base -Receita-Despesa'!$B:$P,1,FALSE)</f>
        <v>Materiais</v>
      </c>
    </row>
    <row r="2002" spans="1:12" ht="15" customHeight="1" x14ac:dyDescent="0.3">
      <c r="A2002" s="82" t="str">
        <f t="shared" si="62"/>
        <v>2016</v>
      </c>
      <c r="B2002" s="72" t="s">
        <v>131</v>
      </c>
      <c r="C2002" s="73" t="s">
        <v>132</v>
      </c>
      <c r="D2002" s="74" t="str">
        <f t="shared" si="63"/>
        <v>ago/2016</v>
      </c>
      <c r="E2002" s="53">
        <v>42594</v>
      </c>
      <c r="F2002" s="75"/>
      <c r="G2002" s="72"/>
      <c r="H2002" s="49" t="s">
        <v>558</v>
      </c>
      <c r="I2002" s="49" t="s">
        <v>196</v>
      </c>
      <c r="J2002" s="76">
        <v>-985</v>
      </c>
      <c r="K2002" s="83" t="str">
        <f>IFERROR(IFERROR(VLOOKUP(I2002,'DE-PARA'!B:D,3,0),VLOOKUP(I2002,'DE-PARA'!C:D,2,0)),"NÃO ENCONTRADO")</f>
        <v>Materiais</v>
      </c>
      <c r="L2002" s="50" t="str">
        <f>VLOOKUP(K2002,'Base -Receita-Despesa'!$B:$P,1,FALSE)</f>
        <v>Materiais</v>
      </c>
    </row>
    <row r="2003" spans="1:12" ht="15" customHeight="1" x14ac:dyDescent="0.3">
      <c r="A2003" s="82" t="str">
        <f t="shared" si="62"/>
        <v>2016</v>
      </c>
      <c r="B2003" s="72" t="s">
        <v>131</v>
      </c>
      <c r="C2003" s="73" t="s">
        <v>132</v>
      </c>
      <c r="D2003" s="74" t="str">
        <f t="shared" si="63"/>
        <v>ago/2016</v>
      </c>
      <c r="E2003" s="53">
        <v>42594</v>
      </c>
      <c r="F2003" s="75"/>
      <c r="G2003" s="72"/>
      <c r="H2003" s="49" t="s">
        <v>1434</v>
      </c>
      <c r="I2003" s="49" t="s">
        <v>168</v>
      </c>
      <c r="J2003" s="76">
        <v>-1300.26</v>
      </c>
      <c r="K2003" s="83" t="str">
        <f>IFERROR(IFERROR(VLOOKUP(I2003,'DE-PARA'!B:D,3,0),VLOOKUP(I2003,'DE-PARA'!C:D,2,0)),"NÃO ENCONTRADO")</f>
        <v>Pessoal</v>
      </c>
      <c r="L2003" s="50" t="str">
        <f>VLOOKUP(K2003,'Base -Receita-Despesa'!$B:$P,1,FALSE)</f>
        <v>Pessoal</v>
      </c>
    </row>
    <row r="2004" spans="1:12" ht="15" customHeight="1" x14ac:dyDescent="0.3">
      <c r="A2004" s="82" t="str">
        <f t="shared" si="62"/>
        <v>2016</v>
      </c>
      <c r="B2004" s="72" t="s">
        <v>131</v>
      </c>
      <c r="C2004" s="73" t="s">
        <v>132</v>
      </c>
      <c r="D2004" s="74" t="str">
        <f t="shared" si="63"/>
        <v>ago/2016</v>
      </c>
      <c r="E2004" s="53">
        <v>42594</v>
      </c>
      <c r="F2004" s="75"/>
      <c r="G2004" s="72"/>
      <c r="H2004" s="49" t="s">
        <v>503</v>
      </c>
      <c r="I2004" s="49" t="s">
        <v>159</v>
      </c>
      <c r="J2004" s="76">
        <v>-784.02</v>
      </c>
      <c r="K2004" s="83" t="str">
        <f>IFERROR(IFERROR(VLOOKUP(I2004,'DE-PARA'!B:D,3,0),VLOOKUP(I2004,'DE-PARA'!C:D,2,0)),"NÃO ENCONTRADO")</f>
        <v>Materiais</v>
      </c>
      <c r="L2004" s="50" t="str">
        <f>VLOOKUP(K2004,'Base -Receita-Despesa'!$B:$P,1,FALSE)</f>
        <v>Materiais</v>
      </c>
    </row>
    <row r="2005" spans="1:12" ht="15" customHeight="1" x14ac:dyDescent="0.3">
      <c r="A2005" s="82" t="str">
        <f t="shared" si="62"/>
        <v>2016</v>
      </c>
      <c r="B2005" s="72" t="s">
        <v>131</v>
      </c>
      <c r="C2005" s="73" t="s">
        <v>132</v>
      </c>
      <c r="D2005" s="74" t="str">
        <f t="shared" si="63"/>
        <v>ago/2016</v>
      </c>
      <c r="E2005" s="53">
        <v>42594</v>
      </c>
      <c r="F2005" s="75"/>
      <c r="G2005" s="72"/>
      <c r="H2005" s="49" t="s">
        <v>224</v>
      </c>
      <c r="I2005" s="49" t="s">
        <v>150</v>
      </c>
      <c r="J2005" s="76">
        <v>-1350</v>
      </c>
      <c r="K2005" s="83" t="str">
        <f>IFERROR(IFERROR(VLOOKUP(I2005,'DE-PARA'!B:D,3,0),VLOOKUP(I2005,'DE-PARA'!C:D,2,0)),"NÃO ENCONTRADO")</f>
        <v>Materiais</v>
      </c>
      <c r="L2005" s="50" t="str">
        <f>VLOOKUP(K2005,'Base -Receita-Despesa'!$B:$P,1,FALSE)</f>
        <v>Materiais</v>
      </c>
    </row>
    <row r="2006" spans="1:12" ht="15" customHeight="1" x14ac:dyDescent="0.3">
      <c r="A2006" s="82" t="str">
        <f t="shared" si="62"/>
        <v>2016</v>
      </c>
      <c r="B2006" s="72" t="s">
        <v>131</v>
      </c>
      <c r="C2006" s="73" t="s">
        <v>132</v>
      </c>
      <c r="D2006" s="74" t="str">
        <f t="shared" si="63"/>
        <v>ago/2016</v>
      </c>
      <c r="E2006" s="53">
        <v>42594</v>
      </c>
      <c r="F2006" s="75"/>
      <c r="G2006" s="72"/>
      <c r="H2006" s="49" t="s">
        <v>229</v>
      </c>
      <c r="I2006" s="49" t="s">
        <v>159</v>
      </c>
      <c r="J2006" s="76">
        <v>-2070.13</v>
      </c>
      <c r="K2006" s="83" t="str">
        <f>IFERROR(IFERROR(VLOOKUP(I2006,'DE-PARA'!B:D,3,0),VLOOKUP(I2006,'DE-PARA'!C:D,2,0)),"NÃO ENCONTRADO")</f>
        <v>Materiais</v>
      </c>
      <c r="L2006" s="50" t="str">
        <f>VLOOKUP(K2006,'Base -Receita-Despesa'!$B:$P,1,FALSE)</f>
        <v>Materiais</v>
      </c>
    </row>
    <row r="2007" spans="1:12" ht="15" customHeight="1" x14ac:dyDescent="0.3">
      <c r="A2007" s="82" t="str">
        <f t="shared" si="62"/>
        <v>2016</v>
      </c>
      <c r="B2007" s="72" t="s">
        <v>131</v>
      </c>
      <c r="C2007" s="73" t="s">
        <v>132</v>
      </c>
      <c r="D2007" s="74" t="str">
        <f t="shared" si="63"/>
        <v>ago/2016</v>
      </c>
      <c r="E2007" s="53">
        <v>42594</v>
      </c>
      <c r="F2007" s="75"/>
      <c r="G2007" s="72"/>
      <c r="H2007" s="49" t="s">
        <v>229</v>
      </c>
      <c r="I2007" s="49" t="s">
        <v>159</v>
      </c>
      <c r="J2007" s="76">
        <v>-1904.13</v>
      </c>
      <c r="K2007" s="83" t="str">
        <f>IFERROR(IFERROR(VLOOKUP(I2007,'DE-PARA'!B:D,3,0),VLOOKUP(I2007,'DE-PARA'!C:D,2,0)),"NÃO ENCONTRADO")</f>
        <v>Materiais</v>
      </c>
      <c r="L2007" s="50" t="str">
        <f>VLOOKUP(K2007,'Base -Receita-Despesa'!$B:$P,1,FALSE)</f>
        <v>Materiais</v>
      </c>
    </row>
    <row r="2008" spans="1:12" ht="15" customHeight="1" x14ac:dyDescent="0.3">
      <c r="A2008" s="82" t="str">
        <f t="shared" si="62"/>
        <v>2016</v>
      </c>
      <c r="B2008" s="72" t="s">
        <v>131</v>
      </c>
      <c r="C2008" s="73" t="s">
        <v>132</v>
      </c>
      <c r="D2008" s="74" t="str">
        <f t="shared" si="63"/>
        <v>ago/2016</v>
      </c>
      <c r="E2008" s="53">
        <v>42594</v>
      </c>
      <c r="F2008" s="75"/>
      <c r="G2008" s="72"/>
      <c r="H2008" s="49" t="s">
        <v>229</v>
      </c>
      <c r="I2008" s="49" t="s">
        <v>159</v>
      </c>
      <c r="J2008" s="76">
        <v>-1187.72</v>
      </c>
      <c r="K2008" s="83" t="str">
        <f>IFERROR(IFERROR(VLOOKUP(I2008,'DE-PARA'!B:D,3,0),VLOOKUP(I2008,'DE-PARA'!C:D,2,0)),"NÃO ENCONTRADO")</f>
        <v>Materiais</v>
      </c>
      <c r="L2008" s="50" t="str">
        <f>VLOOKUP(K2008,'Base -Receita-Despesa'!$B:$P,1,FALSE)</f>
        <v>Materiais</v>
      </c>
    </row>
    <row r="2009" spans="1:12" ht="15" customHeight="1" x14ac:dyDescent="0.3">
      <c r="A2009" s="82" t="str">
        <f t="shared" si="62"/>
        <v>2016</v>
      </c>
      <c r="B2009" s="72" t="s">
        <v>131</v>
      </c>
      <c r="C2009" s="73" t="s">
        <v>132</v>
      </c>
      <c r="D2009" s="74" t="str">
        <f t="shared" si="63"/>
        <v>ago/2016</v>
      </c>
      <c r="E2009" s="53">
        <v>42594</v>
      </c>
      <c r="F2009" s="75"/>
      <c r="G2009" s="72"/>
      <c r="H2009" s="49" t="s">
        <v>229</v>
      </c>
      <c r="I2009" s="49" t="s">
        <v>159</v>
      </c>
      <c r="J2009" s="76">
        <v>-1180</v>
      </c>
      <c r="K2009" s="83" t="str">
        <f>IFERROR(IFERROR(VLOOKUP(I2009,'DE-PARA'!B:D,3,0),VLOOKUP(I2009,'DE-PARA'!C:D,2,0)),"NÃO ENCONTRADO")</f>
        <v>Materiais</v>
      </c>
      <c r="L2009" s="50" t="str">
        <f>VLOOKUP(K2009,'Base -Receita-Despesa'!$B:$P,1,FALSE)</f>
        <v>Materiais</v>
      </c>
    </row>
    <row r="2010" spans="1:12" ht="15" customHeight="1" x14ac:dyDescent="0.3">
      <c r="A2010" s="82" t="str">
        <f t="shared" si="62"/>
        <v>2016</v>
      </c>
      <c r="B2010" s="72" t="s">
        <v>131</v>
      </c>
      <c r="C2010" s="73" t="s">
        <v>132</v>
      </c>
      <c r="D2010" s="74" t="str">
        <f t="shared" si="63"/>
        <v>ago/2016</v>
      </c>
      <c r="E2010" s="53">
        <v>42594</v>
      </c>
      <c r="F2010" s="75"/>
      <c r="G2010" s="72"/>
      <c r="H2010" s="49" t="s">
        <v>1046</v>
      </c>
      <c r="I2010" s="49" t="s">
        <v>121</v>
      </c>
      <c r="J2010" s="76">
        <v>500000</v>
      </c>
      <c r="K2010" s="83" t="s">
        <v>93</v>
      </c>
      <c r="L2010" s="50" t="str">
        <f>VLOOKUP(K2010,'Base -Receita-Despesa'!$B:$P,1,FALSE)</f>
        <v>Transferências da c/c para c/a ou c/p (-)</v>
      </c>
    </row>
    <row r="2011" spans="1:12" ht="15" customHeight="1" x14ac:dyDescent="0.3">
      <c r="A2011" s="82" t="str">
        <f t="shared" si="62"/>
        <v>2016</v>
      </c>
      <c r="B2011" s="72" t="s">
        <v>249</v>
      </c>
      <c r="C2011" s="73" t="s">
        <v>132</v>
      </c>
      <c r="D2011" s="74" t="str">
        <f t="shared" si="63"/>
        <v>ago/2016</v>
      </c>
      <c r="E2011" s="53">
        <v>42597</v>
      </c>
      <c r="F2011" s="75" t="s">
        <v>1045</v>
      </c>
      <c r="G2011" s="72"/>
      <c r="H2011" s="49" t="s">
        <v>1243</v>
      </c>
      <c r="I2011" s="49" t="s">
        <v>121</v>
      </c>
      <c r="J2011" s="76">
        <v>-72133.59</v>
      </c>
      <c r="K2011" s="83" t="s">
        <v>93</v>
      </c>
      <c r="L2011" s="50" t="str">
        <f>VLOOKUP(K2011,'Base -Receita-Despesa'!$B:$P,1,FALSE)</f>
        <v>Transferências da c/c para c/a ou c/p (-)</v>
      </c>
    </row>
    <row r="2012" spans="1:12" ht="15" customHeight="1" x14ac:dyDescent="0.3">
      <c r="A2012" s="82" t="str">
        <f t="shared" si="62"/>
        <v>2016</v>
      </c>
      <c r="B2012" s="72" t="s">
        <v>249</v>
      </c>
      <c r="C2012" s="73" t="s">
        <v>132</v>
      </c>
      <c r="D2012" s="74" t="str">
        <f t="shared" si="63"/>
        <v>ago/2016</v>
      </c>
      <c r="E2012" s="53">
        <v>42597</v>
      </c>
      <c r="F2012" s="75" t="s">
        <v>1054</v>
      </c>
      <c r="G2012" s="72"/>
      <c r="H2012" s="49" t="s">
        <v>1055</v>
      </c>
      <c r="I2012" s="49" t="s">
        <v>1056</v>
      </c>
      <c r="J2012" s="76">
        <v>69884.990000000005</v>
      </c>
      <c r="K2012" s="83" t="str">
        <f>IFERROR(IFERROR(VLOOKUP(I2012,'DE-PARA'!B:D,3,0),VLOOKUP(I2012,'DE-PARA'!C:D,2,0)),"NÃO ENCONTRADO")</f>
        <v>ENTRADA CONTA APLICAÇÃO (+)</v>
      </c>
      <c r="L2012" s="50" t="str">
        <f>VLOOKUP(K2012,'Base -Receita-Despesa'!$B:$P,1,FALSE)</f>
        <v>ENTRADA CONTA APLICAÇÃO (+)</v>
      </c>
    </row>
    <row r="2013" spans="1:12" ht="15" customHeight="1" x14ac:dyDescent="0.3">
      <c r="A2013" s="82" t="str">
        <f t="shared" si="62"/>
        <v>2016</v>
      </c>
      <c r="B2013" s="72" t="s">
        <v>131</v>
      </c>
      <c r="C2013" s="73" t="s">
        <v>132</v>
      </c>
      <c r="D2013" s="74" t="str">
        <f t="shared" si="63"/>
        <v>ago/2016</v>
      </c>
      <c r="E2013" s="53">
        <v>42597</v>
      </c>
      <c r="F2013" s="75"/>
      <c r="G2013" s="72"/>
      <c r="H2013" s="49" t="s">
        <v>1059</v>
      </c>
      <c r="I2013" s="49" t="s">
        <v>192</v>
      </c>
      <c r="J2013" s="76">
        <v>-74.42</v>
      </c>
      <c r="K2013" s="83" t="str">
        <f>IFERROR(IFERROR(VLOOKUP(I2013,'DE-PARA'!B:D,3,0),VLOOKUP(I2013,'DE-PARA'!C:D,2,0)),"NÃO ENCONTRADO")</f>
        <v>Materiais</v>
      </c>
      <c r="L2013" s="50" t="str">
        <f>VLOOKUP(K2013,'Base -Receita-Despesa'!$B:$P,1,FALSE)</f>
        <v>Materiais</v>
      </c>
    </row>
    <row r="2014" spans="1:12" ht="15" customHeight="1" x14ac:dyDescent="0.3">
      <c r="A2014" s="82" t="str">
        <f t="shared" si="62"/>
        <v>2016</v>
      </c>
      <c r="B2014" s="72" t="s">
        <v>131</v>
      </c>
      <c r="C2014" s="73" t="s">
        <v>132</v>
      </c>
      <c r="D2014" s="74" t="str">
        <f t="shared" si="63"/>
        <v>ago/2016</v>
      </c>
      <c r="E2014" s="53">
        <v>42597</v>
      </c>
      <c r="F2014" s="75"/>
      <c r="G2014" s="72"/>
      <c r="H2014" s="49" t="s">
        <v>1247</v>
      </c>
      <c r="I2014" s="49" t="s">
        <v>168</v>
      </c>
      <c r="J2014" s="76">
        <v>-57.29</v>
      </c>
      <c r="K2014" s="83" t="str">
        <f>IFERROR(IFERROR(VLOOKUP(I2014,'DE-PARA'!B:D,3,0),VLOOKUP(I2014,'DE-PARA'!C:D,2,0)),"NÃO ENCONTRADO")</f>
        <v>Pessoal</v>
      </c>
      <c r="L2014" s="50" t="str">
        <f>VLOOKUP(K2014,'Base -Receita-Despesa'!$B:$P,1,FALSE)</f>
        <v>Pessoal</v>
      </c>
    </row>
    <row r="2015" spans="1:12" ht="15" customHeight="1" x14ac:dyDescent="0.3">
      <c r="A2015" s="82" t="str">
        <f t="shared" si="62"/>
        <v>2016</v>
      </c>
      <c r="B2015" s="72" t="s">
        <v>131</v>
      </c>
      <c r="C2015" s="73" t="s">
        <v>132</v>
      </c>
      <c r="D2015" s="74" t="str">
        <f t="shared" si="63"/>
        <v>ago/2016</v>
      </c>
      <c r="E2015" s="53">
        <v>42597</v>
      </c>
      <c r="F2015" s="75"/>
      <c r="G2015" s="72"/>
      <c r="H2015" s="49" t="s">
        <v>1438</v>
      </c>
      <c r="I2015" s="49" t="s">
        <v>196</v>
      </c>
      <c r="J2015" s="76">
        <v>-2050</v>
      </c>
      <c r="K2015" s="83" t="str">
        <f>IFERROR(IFERROR(VLOOKUP(I2015,'DE-PARA'!B:D,3,0),VLOOKUP(I2015,'DE-PARA'!C:D,2,0)),"NÃO ENCONTRADO")</f>
        <v>Materiais</v>
      </c>
      <c r="L2015" s="50" t="str">
        <f>VLOOKUP(K2015,'Base -Receita-Despesa'!$B:$P,1,FALSE)</f>
        <v>Materiais</v>
      </c>
    </row>
    <row r="2016" spans="1:12" ht="15" customHeight="1" x14ac:dyDescent="0.3">
      <c r="A2016" s="82" t="str">
        <f t="shared" si="62"/>
        <v>2016</v>
      </c>
      <c r="B2016" s="72" t="s">
        <v>131</v>
      </c>
      <c r="C2016" s="73" t="s">
        <v>132</v>
      </c>
      <c r="D2016" s="74" t="str">
        <f t="shared" si="63"/>
        <v>ago/2016</v>
      </c>
      <c r="E2016" s="53">
        <v>42597</v>
      </c>
      <c r="F2016" s="75"/>
      <c r="G2016" s="72"/>
      <c r="H2016" s="49" t="s">
        <v>1439</v>
      </c>
      <c r="I2016" s="49" t="s">
        <v>112</v>
      </c>
      <c r="J2016" s="76">
        <v>-770</v>
      </c>
      <c r="K2016" s="83" t="str">
        <f>IFERROR(IFERROR(VLOOKUP(I2016,'DE-PARA'!B:D,3,0),VLOOKUP(I2016,'DE-PARA'!C:D,2,0)),"NÃO ENCONTRADO")</f>
        <v>Serviços</v>
      </c>
      <c r="L2016" s="50" t="str">
        <f>VLOOKUP(K2016,'Base -Receita-Despesa'!$B:$P,1,FALSE)</f>
        <v>Serviços</v>
      </c>
    </row>
    <row r="2017" spans="1:12" ht="15" customHeight="1" x14ac:dyDescent="0.3">
      <c r="A2017" s="82" t="str">
        <f t="shared" si="62"/>
        <v>2016</v>
      </c>
      <c r="B2017" s="72" t="s">
        <v>131</v>
      </c>
      <c r="C2017" s="73" t="s">
        <v>132</v>
      </c>
      <c r="D2017" s="74" t="str">
        <f t="shared" si="63"/>
        <v>ago/2016</v>
      </c>
      <c r="E2017" s="53">
        <v>42597</v>
      </c>
      <c r="F2017" s="75"/>
      <c r="G2017" s="72"/>
      <c r="H2017" s="49" t="s">
        <v>176</v>
      </c>
      <c r="I2017" s="49" t="s">
        <v>177</v>
      </c>
      <c r="J2017" s="76">
        <v>-1762.57</v>
      </c>
      <c r="K2017" s="83" t="str">
        <f>IFERROR(IFERROR(VLOOKUP(I2017,'DE-PARA'!B:D,3,0),VLOOKUP(I2017,'DE-PARA'!C:D,2,0)),"NÃO ENCONTRADO")</f>
        <v>Materiais</v>
      </c>
      <c r="L2017" s="50" t="str">
        <f>VLOOKUP(K2017,'Base -Receita-Despesa'!$B:$P,1,FALSE)</f>
        <v>Materiais</v>
      </c>
    </row>
    <row r="2018" spans="1:12" ht="15" customHeight="1" x14ac:dyDescent="0.3">
      <c r="A2018" s="82" t="str">
        <f t="shared" si="62"/>
        <v>2016</v>
      </c>
      <c r="B2018" s="72" t="s">
        <v>131</v>
      </c>
      <c r="C2018" s="73" t="s">
        <v>132</v>
      </c>
      <c r="D2018" s="74" t="str">
        <f t="shared" si="63"/>
        <v>ago/2016</v>
      </c>
      <c r="E2018" s="53">
        <v>42597</v>
      </c>
      <c r="F2018" s="75"/>
      <c r="G2018" s="72"/>
      <c r="H2018" s="49" t="s">
        <v>517</v>
      </c>
      <c r="I2018" s="49" t="s">
        <v>159</v>
      </c>
      <c r="J2018" s="76">
        <v>-1074.3</v>
      </c>
      <c r="K2018" s="83" t="str">
        <f>IFERROR(IFERROR(VLOOKUP(I2018,'DE-PARA'!B:D,3,0),VLOOKUP(I2018,'DE-PARA'!C:D,2,0)),"NÃO ENCONTRADO")</f>
        <v>Materiais</v>
      </c>
      <c r="L2018" s="50" t="str">
        <f>VLOOKUP(K2018,'Base -Receita-Despesa'!$B:$P,1,FALSE)</f>
        <v>Materiais</v>
      </c>
    </row>
    <row r="2019" spans="1:12" ht="15" customHeight="1" x14ac:dyDescent="0.3">
      <c r="A2019" s="82" t="str">
        <f t="shared" si="62"/>
        <v>2016</v>
      </c>
      <c r="B2019" s="72" t="s">
        <v>131</v>
      </c>
      <c r="C2019" s="73" t="s">
        <v>132</v>
      </c>
      <c r="D2019" s="74" t="str">
        <f t="shared" si="63"/>
        <v>ago/2016</v>
      </c>
      <c r="E2019" s="53">
        <v>42597</v>
      </c>
      <c r="F2019" s="75"/>
      <c r="G2019" s="72"/>
      <c r="H2019" s="49" t="s">
        <v>1083</v>
      </c>
      <c r="I2019" s="49" t="s">
        <v>168</v>
      </c>
      <c r="J2019" s="76">
        <v>-227.64</v>
      </c>
      <c r="K2019" s="83" t="str">
        <f>IFERROR(IFERROR(VLOOKUP(I2019,'DE-PARA'!B:D,3,0),VLOOKUP(I2019,'DE-PARA'!C:D,2,0)),"NÃO ENCONTRADO")</f>
        <v>Pessoal</v>
      </c>
      <c r="L2019" s="50" t="str">
        <f>VLOOKUP(K2019,'Base -Receita-Despesa'!$B:$P,1,FALSE)</f>
        <v>Pessoal</v>
      </c>
    </row>
    <row r="2020" spans="1:12" ht="15" customHeight="1" x14ac:dyDescent="0.3">
      <c r="A2020" s="82" t="str">
        <f t="shared" si="62"/>
        <v>2016</v>
      </c>
      <c r="B2020" s="72" t="s">
        <v>131</v>
      </c>
      <c r="C2020" s="73" t="s">
        <v>132</v>
      </c>
      <c r="D2020" s="74" t="str">
        <f t="shared" si="63"/>
        <v>ago/2016</v>
      </c>
      <c r="E2020" s="53">
        <v>42597</v>
      </c>
      <c r="F2020" s="75"/>
      <c r="G2020" s="72"/>
      <c r="H2020" s="49" t="s">
        <v>368</v>
      </c>
      <c r="I2020" s="49" t="s">
        <v>159</v>
      </c>
      <c r="J2020" s="76">
        <v>-116</v>
      </c>
      <c r="K2020" s="83" t="str">
        <f>IFERROR(IFERROR(VLOOKUP(I2020,'DE-PARA'!B:D,3,0),VLOOKUP(I2020,'DE-PARA'!C:D,2,0)),"NÃO ENCONTRADO")</f>
        <v>Materiais</v>
      </c>
      <c r="L2020" s="50" t="str">
        <f>VLOOKUP(K2020,'Base -Receita-Despesa'!$B:$P,1,FALSE)</f>
        <v>Materiais</v>
      </c>
    </row>
    <row r="2021" spans="1:12" ht="15" customHeight="1" x14ac:dyDescent="0.3">
      <c r="A2021" s="82" t="str">
        <f t="shared" si="62"/>
        <v>2016</v>
      </c>
      <c r="B2021" s="72" t="s">
        <v>131</v>
      </c>
      <c r="C2021" s="73" t="s">
        <v>132</v>
      </c>
      <c r="D2021" s="74" t="str">
        <f t="shared" si="63"/>
        <v>ago/2016</v>
      </c>
      <c r="E2021" s="53">
        <v>42597</v>
      </c>
      <c r="F2021" s="75"/>
      <c r="G2021" s="72"/>
      <c r="H2021" s="49" t="s">
        <v>161</v>
      </c>
      <c r="I2021" s="49" t="s">
        <v>159</v>
      </c>
      <c r="J2021" s="76">
        <v>-1447.8</v>
      </c>
      <c r="K2021" s="83" t="str">
        <f>IFERROR(IFERROR(VLOOKUP(I2021,'DE-PARA'!B:D,3,0),VLOOKUP(I2021,'DE-PARA'!C:D,2,0)),"NÃO ENCONTRADO")</f>
        <v>Materiais</v>
      </c>
      <c r="L2021" s="50" t="str">
        <f>VLOOKUP(K2021,'Base -Receita-Despesa'!$B:$P,1,FALSE)</f>
        <v>Materiais</v>
      </c>
    </row>
    <row r="2022" spans="1:12" ht="15" customHeight="1" x14ac:dyDescent="0.3">
      <c r="A2022" s="82" t="str">
        <f t="shared" si="62"/>
        <v>2016</v>
      </c>
      <c r="B2022" s="72" t="s">
        <v>131</v>
      </c>
      <c r="C2022" s="73" t="s">
        <v>132</v>
      </c>
      <c r="D2022" s="74" t="str">
        <f t="shared" si="63"/>
        <v>ago/2016</v>
      </c>
      <c r="E2022" s="53">
        <v>42597</v>
      </c>
      <c r="F2022" s="75"/>
      <c r="G2022" s="72"/>
      <c r="H2022" s="49" t="s">
        <v>161</v>
      </c>
      <c r="I2022" s="49" t="s">
        <v>159</v>
      </c>
      <c r="J2022" s="76">
        <v>-1302.67</v>
      </c>
      <c r="K2022" s="83" t="str">
        <f>IFERROR(IFERROR(VLOOKUP(I2022,'DE-PARA'!B:D,3,0),VLOOKUP(I2022,'DE-PARA'!C:D,2,0)),"NÃO ENCONTRADO")</f>
        <v>Materiais</v>
      </c>
      <c r="L2022" s="50" t="str">
        <f>VLOOKUP(K2022,'Base -Receita-Despesa'!$B:$P,1,FALSE)</f>
        <v>Materiais</v>
      </c>
    </row>
    <row r="2023" spans="1:12" ht="15" customHeight="1" x14ac:dyDescent="0.3">
      <c r="A2023" s="82" t="str">
        <f t="shared" si="62"/>
        <v>2016</v>
      </c>
      <c r="B2023" s="72" t="s">
        <v>131</v>
      </c>
      <c r="C2023" s="73" t="s">
        <v>132</v>
      </c>
      <c r="D2023" s="74" t="str">
        <f t="shared" si="63"/>
        <v>ago/2016</v>
      </c>
      <c r="E2023" s="53">
        <v>42597</v>
      </c>
      <c r="F2023" s="75"/>
      <c r="G2023" s="72"/>
      <c r="H2023" s="49" t="s">
        <v>161</v>
      </c>
      <c r="I2023" s="49" t="s">
        <v>159</v>
      </c>
      <c r="J2023" s="76">
        <v>-1187.74</v>
      </c>
      <c r="K2023" s="83" t="str">
        <f>IFERROR(IFERROR(VLOOKUP(I2023,'DE-PARA'!B:D,3,0),VLOOKUP(I2023,'DE-PARA'!C:D,2,0)),"NÃO ENCONTRADO")</f>
        <v>Materiais</v>
      </c>
      <c r="L2023" s="50" t="str">
        <f>VLOOKUP(K2023,'Base -Receita-Despesa'!$B:$P,1,FALSE)</f>
        <v>Materiais</v>
      </c>
    </row>
    <row r="2024" spans="1:12" ht="15" customHeight="1" x14ac:dyDescent="0.3">
      <c r="A2024" s="82" t="str">
        <f t="shared" si="62"/>
        <v>2016</v>
      </c>
      <c r="B2024" s="72" t="s">
        <v>131</v>
      </c>
      <c r="C2024" s="73" t="s">
        <v>132</v>
      </c>
      <c r="D2024" s="74" t="str">
        <f t="shared" si="63"/>
        <v>ago/2016</v>
      </c>
      <c r="E2024" s="53">
        <v>42597</v>
      </c>
      <c r="F2024" s="75"/>
      <c r="G2024" s="72"/>
      <c r="H2024" s="49" t="s">
        <v>161</v>
      </c>
      <c r="I2024" s="49" t="s">
        <v>159</v>
      </c>
      <c r="J2024" s="76">
        <v>-1146.1300000000001</v>
      </c>
      <c r="K2024" s="83" t="str">
        <f>IFERROR(IFERROR(VLOOKUP(I2024,'DE-PARA'!B:D,3,0),VLOOKUP(I2024,'DE-PARA'!C:D,2,0)),"NÃO ENCONTRADO")</f>
        <v>Materiais</v>
      </c>
      <c r="L2024" s="50" t="str">
        <f>VLOOKUP(K2024,'Base -Receita-Despesa'!$B:$P,1,FALSE)</f>
        <v>Materiais</v>
      </c>
    </row>
    <row r="2025" spans="1:12" ht="15" customHeight="1" x14ac:dyDescent="0.3">
      <c r="A2025" s="82" t="str">
        <f t="shared" si="62"/>
        <v>2016</v>
      </c>
      <c r="B2025" s="72" t="s">
        <v>131</v>
      </c>
      <c r="C2025" s="73" t="s">
        <v>132</v>
      </c>
      <c r="D2025" s="74" t="str">
        <f t="shared" si="63"/>
        <v>ago/2016</v>
      </c>
      <c r="E2025" s="53">
        <v>42597</v>
      </c>
      <c r="F2025" s="75"/>
      <c r="G2025" s="72"/>
      <c r="H2025" s="49" t="s">
        <v>161</v>
      </c>
      <c r="I2025" s="49" t="s">
        <v>159</v>
      </c>
      <c r="J2025" s="76">
        <v>-801.92</v>
      </c>
      <c r="K2025" s="83" t="str">
        <f>IFERROR(IFERROR(VLOOKUP(I2025,'DE-PARA'!B:D,3,0),VLOOKUP(I2025,'DE-PARA'!C:D,2,0)),"NÃO ENCONTRADO")</f>
        <v>Materiais</v>
      </c>
      <c r="L2025" s="50" t="str">
        <f>VLOOKUP(K2025,'Base -Receita-Despesa'!$B:$P,1,FALSE)</f>
        <v>Materiais</v>
      </c>
    </row>
    <row r="2026" spans="1:12" ht="15" customHeight="1" x14ac:dyDescent="0.3">
      <c r="A2026" s="82" t="str">
        <f t="shared" si="62"/>
        <v>2016</v>
      </c>
      <c r="B2026" s="72" t="s">
        <v>131</v>
      </c>
      <c r="C2026" s="73" t="s">
        <v>132</v>
      </c>
      <c r="D2026" s="74" t="str">
        <f t="shared" si="63"/>
        <v>ago/2016</v>
      </c>
      <c r="E2026" s="53">
        <v>42597</v>
      </c>
      <c r="F2026" s="75"/>
      <c r="G2026" s="72"/>
      <c r="H2026" s="49" t="s">
        <v>161</v>
      </c>
      <c r="I2026" s="49" t="s">
        <v>159</v>
      </c>
      <c r="J2026" s="76">
        <v>-577.99</v>
      </c>
      <c r="K2026" s="83" t="str">
        <f>IFERROR(IFERROR(VLOOKUP(I2026,'DE-PARA'!B:D,3,0),VLOOKUP(I2026,'DE-PARA'!C:D,2,0)),"NÃO ENCONTRADO")</f>
        <v>Materiais</v>
      </c>
      <c r="L2026" s="50" t="str">
        <f>VLOOKUP(K2026,'Base -Receita-Despesa'!$B:$P,1,FALSE)</f>
        <v>Materiais</v>
      </c>
    </row>
    <row r="2027" spans="1:12" ht="15" customHeight="1" x14ac:dyDescent="0.3">
      <c r="A2027" s="82" t="str">
        <f t="shared" si="62"/>
        <v>2016</v>
      </c>
      <c r="B2027" s="72" t="s">
        <v>131</v>
      </c>
      <c r="C2027" s="73" t="s">
        <v>132</v>
      </c>
      <c r="D2027" s="74" t="str">
        <f t="shared" si="63"/>
        <v>ago/2016</v>
      </c>
      <c r="E2027" s="53">
        <v>42597</v>
      </c>
      <c r="F2027" s="75"/>
      <c r="G2027" s="72"/>
      <c r="H2027" s="49" t="s">
        <v>161</v>
      </c>
      <c r="I2027" s="49" t="s">
        <v>159</v>
      </c>
      <c r="J2027" s="76">
        <v>-481.52</v>
      </c>
      <c r="K2027" s="83" t="str">
        <f>IFERROR(IFERROR(VLOOKUP(I2027,'DE-PARA'!B:D,3,0),VLOOKUP(I2027,'DE-PARA'!C:D,2,0)),"NÃO ENCONTRADO")</f>
        <v>Materiais</v>
      </c>
      <c r="L2027" s="50" t="str">
        <f>VLOOKUP(K2027,'Base -Receita-Despesa'!$B:$P,1,FALSE)</f>
        <v>Materiais</v>
      </c>
    </row>
    <row r="2028" spans="1:12" ht="15" customHeight="1" x14ac:dyDescent="0.3">
      <c r="A2028" s="82" t="str">
        <f t="shared" si="62"/>
        <v>2016</v>
      </c>
      <c r="B2028" s="72" t="s">
        <v>131</v>
      </c>
      <c r="C2028" s="73" t="s">
        <v>132</v>
      </c>
      <c r="D2028" s="74" t="str">
        <f t="shared" si="63"/>
        <v>ago/2016</v>
      </c>
      <c r="E2028" s="53">
        <v>42597</v>
      </c>
      <c r="F2028" s="75"/>
      <c r="G2028" s="72"/>
      <c r="H2028" s="49" t="s">
        <v>161</v>
      </c>
      <c r="I2028" s="49" t="s">
        <v>159</v>
      </c>
      <c r="J2028" s="76">
        <v>-446.77</v>
      </c>
      <c r="K2028" s="83" t="str">
        <f>IFERROR(IFERROR(VLOOKUP(I2028,'DE-PARA'!B:D,3,0),VLOOKUP(I2028,'DE-PARA'!C:D,2,0)),"NÃO ENCONTRADO")</f>
        <v>Materiais</v>
      </c>
      <c r="L2028" s="50" t="str">
        <f>VLOOKUP(K2028,'Base -Receita-Despesa'!$B:$P,1,FALSE)</f>
        <v>Materiais</v>
      </c>
    </row>
    <row r="2029" spans="1:12" ht="15" customHeight="1" x14ac:dyDescent="0.3">
      <c r="A2029" s="82" t="str">
        <f t="shared" si="62"/>
        <v>2016</v>
      </c>
      <c r="B2029" s="72" t="s">
        <v>131</v>
      </c>
      <c r="C2029" s="73" t="s">
        <v>132</v>
      </c>
      <c r="D2029" s="74" t="str">
        <f t="shared" si="63"/>
        <v>ago/2016</v>
      </c>
      <c r="E2029" s="53">
        <v>42597</v>
      </c>
      <c r="F2029" s="75"/>
      <c r="G2029" s="72"/>
      <c r="H2029" s="49" t="s">
        <v>161</v>
      </c>
      <c r="I2029" s="49" t="s">
        <v>159</v>
      </c>
      <c r="J2029" s="76">
        <v>-405</v>
      </c>
      <c r="K2029" s="83" t="str">
        <f>IFERROR(IFERROR(VLOOKUP(I2029,'DE-PARA'!B:D,3,0),VLOOKUP(I2029,'DE-PARA'!C:D,2,0)),"NÃO ENCONTRADO")</f>
        <v>Materiais</v>
      </c>
      <c r="L2029" s="50" t="str">
        <f>VLOOKUP(K2029,'Base -Receita-Despesa'!$B:$P,1,FALSE)</f>
        <v>Materiais</v>
      </c>
    </row>
    <row r="2030" spans="1:12" ht="15" customHeight="1" x14ac:dyDescent="0.3">
      <c r="A2030" s="82" t="str">
        <f t="shared" si="62"/>
        <v>2016</v>
      </c>
      <c r="B2030" s="72" t="s">
        <v>131</v>
      </c>
      <c r="C2030" s="73" t="s">
        <v>132</v>
      </c>
      <c r="D2030" s="74" t="str">
        <f t="shared" si="63"/>
        <v>ago/2016</v>
      </c>
      <c r="E2030" s="53">
        <v>42597</v>
      </c>
      <c r="F2030" s="75"/>
      <c r="G2030" s="72"/>
      <c r="H2030" s="49" t="s">
        <v>161</v>
      </c>
      <c r="I2030" s="49" t="s">
        <v>159</v>
      </c>
      <c r="J2030" s="76">
        <v>-390</v>
      </c>
      <c r="K2030" s="83" t="str">
        <f>IFERROR(IFERROR(VLOOKUP(I2030,'DE-PARA'!B:D,3,0),VLOOKUP(I2030,'DE-PARA'!C:D,2,0)),"NÃO ENCONTRADO")</f>
        <v>Materiais</v>
      </c>
      <c r="L2030" s="50" t="str">
        <f>VLOOKUP(K2030,'Base -Receita-Despesa'!$B:$P,1,FALSE)</f>
        <v>Materiais</v>
      </c>
    </row>
    <row r="2031" spans="1:12" ht="15" customHeight="1" x14ac:dyDescent="0.3">
      <c r="A2031" s="82" t="str">
        <f t="shared" si="62"/>
        <v>2016</v>
      </c>
      <c r="B2031" s="72" t="s">
        <v>131</v>
      </c>
      <c r="C2031" s="73" t="s">
        <v>132</v>
      </c>
      <c r="D2031" s="74" t="str">
        <f t="shared" si="63"/>
        <v>ago/2016</v>
      </c>
      <c r="E2031" s="53">
        <v>42597</v>
      </c>
      <c r="F2031" s="75"/>
      <c r="G2031" s="72"/>
      <c r="H2031" s="49" t="s">
        <v>161</v>
      </c>
      <c r="I2031" s="49" t="s">
        <v>159</v>
      </c>
      <c r="J2031" s="76">
        <v>-258.2</v>
      </c>
      <c r="K2031" s="83" t="str">
        <f>IFERROR(IFERROR(VLOOKUP(I2031,'DE-PARA'!B:D,3,0),VLOOKUP(I2031,'DE-PARA'!C:D,2,0)),"NÃO ENCONTRADO")</f>
        <v>Materiais</v>
      </c>
      <c r="L2031" s="50" t="str">
        <f>VLOOKUP(K2031,'Base -Receita-Despesa'!$B:$P,1,FALSE)</f>
        <v>Materiais</v>
      </c>
    </row>
    <row r="2032" spans="1:12" ht="15" customHeight="1" x14ac:dyDescent="0.3">
      <c r="A2032" s="82" t="str">
        <f t="shared" si="62"/>
        <v>2016</v>
      </c>
      <c r="B2032" s="72" t="s">
        <v>131</v>
      </c>
      <c r="C2032" s="73" t="s">
        <v>132</v>
      </c>
      <c r="D2032" s="74" t="str">
        <f t="shared" si="63"/>
        <v>ago/2016</v>
      </c>
      <c r="E2032" s="53">
        <v>42597</v>
      </c>
      <c r="F2032" s="75"/>
      <c r="G2032" s="72"/>
      <c r="H2032" s="49" t="s">
        <v>161</v>
      </c>
      <c r="I2032" s="49" t="s">
        <v>159</v>
      </c>
      <c r="J2032" s="76">
        <v>-94.08</v>
      </c>
      <c r="K2032" s="83" t="str">
        <f>IFERROR(IFERROR(VLOOKUP(I2032,'DE-PARA'!B:D,3,0),VLOOKUP(I2032,'DE-PARA'!C:D,2,0)),"NÃO ENCONTRADO")</f>
        <v>Materiais</v>
      </c>
      <c r="L2032" s="50" t="str">
        <f>VLOOKUP(K2032,'Base -Receita-Despesa'!$B:$P,1,FALSE)</f>
        <v>Materiais</v>
      </c>
    </row>
    <row r="2033" spans="1:12" ht="15" customHeight="1" x14ac:dyDescent="0.3">
      <c r="A2033" s="82" t="str">
        <f t="shared" si="62"/>
        <v>2016</v>
      </c>
      <c r="B2033" s="72" t="s">
        <v>131</v>
      </c>
      <c r="C2033" s="73" t="s">
        <v>132</v>
      </c>
      <c r="D2033" s="74" t="str">
        <f t="shared" si="63"/>
        <v>ago/2016</v>
      </c>
      <c r="E2033" s="53">
        <v>42597</v>
      </c>
      <c r="F2033" s="75"/>
      <c r="G2033" s="72"/>
      <c r="H2033" s="49" t="s">
        <v>161</v>
      </c>
      <c r="I2033" s="49" t="s">
        <v>159</v>
      </c>
      <c r="J2033" s="76">
        <v>-71</v>
      </c>
      <c r="K2033" s="83" t="str">
        <f>IFERROR(IFERROR(VLOOKUP(I2033,'DE-PARA'!B:D,3,0),VLOOKUP(I2033,'DE-PARA'!C:D,2,0)),"NÃO ENCONTRADO")</f>
        <v>Materiais</v>
      </c>
      <c r="L2033" s="50" t="str">
        <f>VLOOKUP(K2033,'Base -Receita-Despesa'!$B:$P,1,FALSE)</f>
        <v>Materiais</v>
      </c>
    </row>
    <row r="2034" spans="1:12" ht="15" customHeight="1" x14ac:dyDescent="0.3">
      <c r="A2034" s="82" t="str">
        <f t="shared" si="62"/>
        <v>2016</v>
      </c>
      <c r="B2034" s="72" t="s">
        <v>131</v>
      </c>
      <c r="C2034" s="73" t="s">
        <v>132</v>
      </c>
      <c r="D2034" s="74" t="str">
        <f t="shared" si="63"/>
        <v>ago/2016</v>
      </c>
      <c r="E2034" s="53">
        <v>42597</v>
      </c>
      <c r="F2034" s="75"/>
      <c r="G2034" s="72"/>
      <c r="H2034" s="49" t="s">
        <v>149</v>
      </c>
      <c r="I2034" s="49" t="s">
        <v>129</v>
      </c>
      <c r="J2034" s="76">
        <v>-7.85</v>
      </c>
      <c r="K2034" s="83" t="str">
        <f>IFERROR(IFERROR(VLOOKUP(I2034,'DE-PARA'!B:D,3,0),VLOOKUP(I2034,'DE-PARA'!C:D,2,0)),"NÃO ENCONTRADO")</f>
        <v>Outras Saídas</v>
      </c>
      <c r="L2034" s="50" t="str">
        <f>VLOOKUP(K2034,'Base -Receita-Despesa'!$B:$P,1,FALSE)</f>
        <v>Outras Saídas</v>
      </c>
    </row>
    <row r="2035" spans="1:12" ht="15" customHeight="1" x14ac:dyDescent="0.3">
      <c r="A2035" s="82" t="str">
        <f t="shared" si="62"/>
        <v>2016</v>
      </c>
      <c r="B2035" s="72" t="s">
        <v>131</v>
      </c>
      <c r="C2035" s="73" t="s">
        <v>132</v>
      </c>
      <c r="D2035" s="74" t="str">
        <f t="shared" si="63"/>
        <v>ago/2016</v>
      </c>
      <c r="E2035" s="53">
        <v>42597</v>
      </c>
      <c r="F2035" s="75"/>
      <c r="G2035" s="72"/>
      <c r="H2035" s="49" t="s">
        <v>141</v>
      </c>
      <c r="I2035" s="49" t="s">
        <v>111</v>
      </c>
      <c r="J2035" s="76">
        <v>-8198.2999999999993</v>
      </c>
      <c r="K2035" s="83" t="str">
        <f>IFERROR(IFERROR(VLOOKUP(I2035,'DE-PARA'!B:D,3,0),VLOOKUP(I2035,'DE-PARA'!C:D,2,0)),"NÃO ENCONTRADO")</f>
        <v>Serviços</v>
      </c>
      <c r="L2035" s="50" t="str">
        <f>VLOOKUP(K2035,'Base -Receita-Despesa'!$B:$P,1,FALSE)</f>
        <v>Serviços</v>
      </c>
    </row>
    <row r="2036" spans="1:12" ht="15" customHeight="1" x14ac:dyDescent="0.3">
      <c r="A2036" s="82" t="str">
        <f t="shared" si="62"/>
        <v>2016</v>
      </c>
      <c r="B2036" s="72" t="s">
        <v>131</v>
      </c>
      <c r="C2036" s="73" t="s">
        <v>132</v>
      </c>
      <c r="D2036" s="74" t="str">
        <f t="shared" si="63"/>
        <v>ago/2016</v>
      </c>
      <c r="E2036" s="53">
        <v>42597</v>
      </c>
      <c r="F2036" s="75"/>
      <c r="G2036" s="72"/>
      <c r="H2036" s="49" t="s">
        <v>141</v>
      </c>
      <c r="I2036" s="49" t="s">
        <v>111</v>
      </c>
      <c r="J2036" s="76">
        <v>-1781</v>
      </c>
      <c r="K2036" s="83" t="str">
        <f>IFERROR(IFERROR(VLOOKUP(I2036,'DE-PARA'!B:D,3,0),VLOOKUP(I2036,'DE-PARA'!C:D,2,0)),"NÃO ENCONTRADO")</f>
        <v>Serviços</v>
      </c>
      <c r="L2036" s="50" t="str">
        <f>VLOOKUP(K2036,'Base -Receita-Despesa'!$B:$P,1,FALSE)</f>
        <v>Serviços</v>
      </c>
    </row>
    <row r="2037" spans="1:12" ht="15" customHeight="1" x14ac:dyDescent="0.3">
      <c r="A2037" s="82" t="str">
        <f t="shared" si="62"/>
        <v>2016</v>
      </c>
      <c r="B2037" s="72" t="s">
        <v>131</v>
      </c>
      <c r="C2037" s="73" t="s">
        <v>132</v>
      </c>
      <c r="D2037" s="74" t="str">
        <f t="shared" si="63"/>
        <v>ago/2016</v>
      </c>
      <c r="E2037" s="53">
        <v>42597</v>
      </c>
      <c r="F2037" s="75"/>
      <c r="G2037" s="72"/>
      <c r="H2037" s="49" t="s">
        <v>1430</v>
      </c>
      <c r="I2037" s="49" t="s">
        <v>168</v>
      </c>
      <c r="J2037" s="76">
        <v>-55.44</v>
      </c>
      <c r="K2037" s="83" t="str">
        <f>IFERROR(IFERROR(VLOOKUP(I2037,'DE-PARA'!B:D,3,0),VLOOKUP(I2037,'DE-PARA'!C:D,2,0)),"NÃO ENCONTRADO")</f>
        <v>Pessoal</v>
      </c>
      <c r="L2037" s="50" t="str">
        <f>VLOOKUP(K2037,'Base -Receita-Despesa'!$B:$P,1,FALSE)</f>
        <v>Pessoal</v>
      </c>
    </row>
    <row r="2038" spans="1:12" ht="15" customHeight="1" x14ac:dyDescent="0.3">
      <c r="A2038" s="82" t="str">
        <f t="shared" si="62"/>
        <v>2016</v>
      </c>
      <c r="B2038" s="72" t="s">
        <v>131</v>
      </c>
      <c r="C2038" s="73" t="s">
        <v>132</v>
      </c>
      <c r="D2038" s="74" t="str">
        <f t="shared" si="63"/>
        <v>ago/2016</v>
      </c>
      <c r="E2038" s="53">
        <v>42597</v>
      </c>
      <c r="F2038" s="75"/>
      <c r="G2038" s="72"/>
      <c r="H2038" s="49" t="s">
        <v>200</v>
      </c>
      <c r="I2038" s="49" t="s">
        <v>192</v>
      </c>
      <c r="J2038" s="76">
        <v>-33.200000000000003</v>
      </c>
      <c r="K2038" s="83" t="str">
        <f>IFERROR(IFERROR(VLOOKUP(I2038,'DE-PARA'!B:D,3,0),VLOOKUP(I2038,'DE-PARA'!C:D,2,0)),"NÃO ENCONTRADO")</f>
        <v>Materiais</v>
      </c>
      <c r="L2038" s="50" t="str">
        <f>VLOOKUP(K2038,'Base -Receita-Despesa'!$B:$P,1,FALSE)</f>
        <v>Materiais</v>
      </c>
    </row>
    <row r="2039" spans="1:12" ht="15" customHeight="1" x14ac:dyDescent="0.3">
      <c r="A2039" s="82" t="str">
        <f t="shared" si="62"/>
        <v>2016</v>
      </c>
      <c r="B2039" s="72" t="s">
        <v>131</v>
      </c>
      <c r="C2039" s="73" t="s">
        <v>132</v>
      </c>
      <c r="D2039" s="74" t="str">
        <f t="shared" si="63"/>
        <v>ago/2016</v>
      </c>
      <c r="E2039" s="53">
        <v>42597</v>
      </c>
      <c r="F2039" s="75"/>
      <c r="G2039" s="72"/>
      <c r="H2039" s="49" t="s">
        <v>673</v>
      </c>
      <c r="I2039" s="49" t="s">
        <v>192</v>
      </c>
      <c r="J2039" s="76">
        <v>-127.09</v>
      </c>
      <c r="K2039" s="83" t="str">
        <f>IFERROR(IFERROR(VLOOKUP(I2039,'DE-PARA'!B:D,3,0),VLOOKUP(I2039,'DE-PARA'!C:D,2,0)),"NÃO ENCONTRADO")</f>
        <v>Materiais</v>
      </c>
      <c r="L2039" s="50" t="str">
        <f>VLOOKUP(K2039,'Base -Receita-Despesa'!$B:$P,1,FALSE)</f>
        <v>Materiais</v>
      </c>
    </row>
    <row r="2040" spans="1:12" ht="15" customHeight="1" x14ac:dyDescent="0.3">
      <c r="A2040" s="82" t="str">
        <f t="shared" si="62"/>
        <v>2016</v>
      </c>
      <c r="B2040" s="72" t="s">
        <v>131</v>
      </c>
      <c r="C2040" s="73" t="s">
        <v>132</v>
      </c>
      <c r="D2040" s="74" t="str">
        <f t="shared" si="63"/>
        <v>ago/2016</v>
      </c>
      <c r="E2040" s="53">
        <v>42597</v>
      </c>
      <c r="F2040" s="75"/>
      <c r="G2040" s="72"/>
      <c r="H2040" s="49" t="s">
        <v>1440</v>
      </c>
      <c r="I2040" s="49" t="s">
        <v>192</v>
      </c>
      <c r="J2040" s="76">
        <v>-24.06</v>
      </c>
      <c r="K2040" s="83" t="str">
        <f>IFERROR(IFERROR(VLOOKUP(I2040,'DE-PARA'!B:D,3,0),VLOOKUP(I2040,'DE-PARA'!C:D,2,0)),"NÃO ENCONTRADO")</f>
        <v>Materiais</v>
      </c>
      <c r="L2040" s="50" t="str">
        <f>VLOOKUP(K2040,'Base -Receita-Despesa'!$B:$P,1,FALSE)</f>
        <v>Materiais</v>
      </c>
    </row>
    <row r="2041" spans="1:12" ht="15" customHeight="1" x14ac:dyDescent="0.3">
      <c r="A2041" s="82" t="str">
        <f t="shared" si="62"/>
        <v>2016</v>
      </c>
      <c r="B2041" s="72" t="s">
        <v>131</v>
      </c>
      <c r="C2041" s="73" t="s">
        <v>132</v>
      </c>
      <c r="D2041" s="74" t="str">
        <f t="shared" si="63"/>
        <v>ago/2016</v>
      </c>
      <c r="E2041" s="53">
        <v>42597</v>
      </c>
      <c r="F2041" s="75"/>
      <c r="G2041" s="72"/>
      <c r="H2041" s="49" t="s">
        <v>533</v>
      </c>
      <c r="I2041" s="49" t="s">
        <v>159</v>
      </c>
      <c r="J2041" s="76">
        <v>-2825</v>
      </c>
      <c r="K2041" s="83" t="str">
        <f>IFERROR(IFERROR(VLOOKUP(I2041,'DE-PARA'!B:D,3,0),VLOOKUP(I2041,'DE-PARA'!C:D,2,0)),"NÃO ENCONTRADO")</f>
        <v>Materiais</v>
      </c>
      <c r="L2041" s="50" t="str">
        <f>VLOOKUP(K2041,'Base -Receita-Despesa'!$B:$P,1,FALSE)</f>
        <v>Materiais</v>
      </c>
    </row>
    <row r="2042" spans="1:12" ht="15" customHeight="1" x14ac:dyDescent="0.3">
      <c r="A2042" s="82" t="str">
        <f t="shared" si="62"/>
        <v>2016</v>
      </c>
      <c r="B2042" s="72" t="s">
        <v>131</v>
      </c>
      <c r="C2042" s="73" t="s">
        <v>132</v>
      </c>
      <c r="D2042" s="74" t="str">
        <f t="shared" si="63"/>
        <v>ago/2016</v>
      </c>
      <c r="E2042" s="53">
        <v>42597</v>
      </c>
      <c r="F2042" s="75"/>
      <c r="G2042" s="72"/>
      <c r="H2042" s="49" t="s">
        <v>1441</v>
      </c>
      <c r="I2042" s="49" t="s">
        <v>114</v>
      </c>
      <c r="J2042" s="76">
        <v>-1961.84</v>
      </c>
      <c r="K2042" s="83" t="str">
        <f>IFERROR(IFERROR(VLOOKUP(I2042,'DE-PARA'!B:D,3,0),VLOOKUP(I2042,'DE-PARA'!C:D,2,0)),"NÃO ENCONTRADO")</f>
        <v>Serviços</v>
      </c>
      <c r="L2042" s="50" t="str">
        <f>VLOOKUP(K2042,'Base -Receita-Despesa'!$B:$P,1,FALSE)</f>
        <v>Serviços</v>
      </c>
    </row>
    <row r="2043" spans="1:12" ht="15" customHeight="1" x14ac:dyDescent="0.3">
      <c r="A2043" s="82" t="str">
        <f t="shared" si="62"/>
        <v>2016</v>
      </c>
      <c r="B2043" s="72" t="s">
        <v>131</v>
      </c>
      <c r="C2043" s="73" t="s">
        <v>132</v>
      </c>
      <c r="D2043" s="74" t="str">
        <f t="shared" si="63"/>
        <v>ago/2016</v>
      </c>
      <c r="E2043" s="53">
        <v>42597</v>
      </c>
      <c r="F2043" s="75"/>
      <c r="G2043" s="72"/>
      <c r="H2043" s="49" t="s">
        <v>1442</v>
      </c>
      <c r="I2043" s="49" t="s">
        <v>113</v>
      </c>
      <c r="J2043" s="76">
        <v>-4456.26</v>
      </c>
      <c r="K2043" s="83" t="str">
        <f>IFERROR(IFERROR(VLOOKUP(I2043,'DE-PARA'!B:D,3,0),VLOOKUP(I2043,'DE-PARA'!C:D,2,0)),"NÃO ENCONTRADO")</f>
        <v>Serviços</v>
      </c>
      <c r="L2043" s="50" t="str">
        <f>VLOOKUP(K2043,'Base -Receita-Despesa'!$B:$P,1,FALSE)</f>
        <v>Serviços</v>
      </c>
    </row>
    <row r="2044" spans="1:12" ht="15" customHeight="1" x14ac:dyDescent="0.3">
      <c r="A2044" s="82" t="str">
        <f t="shared" si="62"/>
        <v>2016</v>
      </c>
      <c r="B2044" s="72" t="s">
        <v>131</v>
      </c>
      <c r="C2044" s="73" t="s">
        <v>132</v>
      </c>
      <c r="D2044" s="74" t="str">
        <f t="shared" si="63"/>
        <v>ago/2016</v>
      </c>
      <c r="E2044" s="53">
        <v>42597</v>
      </c>
      <c r="F2044" s="75"/>
      <c r="G2044" s="72"/>
      <c r="H2044" s="49" t="s">
        <v>1443</v>
      </c>
      <c r="I2044" s="49" t="s">
        <v>173</v>
      </c>
      <c r="J2044" s="76">
        <v>-912.34</v>
      </c>
      <c r="K2044" s="83" t="str">
        <f>IFERROR(IFERROR(VLOOKUP(I2044,'DE-PARA'!B:D,3,0),VLOOKUP(I2044,'DE-PARA'!C:D,2,0)),"NÃO ENCONTRADO")</f>
        <v>Serviços</v>
      </c>
      <c r="L2044" s="50" t="str">
        <f>VLOOKUP(K2044,'Base -Receita-Despesa'!$B:$P,1,FALSE)</f>
        <v>Serviços</v>
      </c>
    </row>
    <row r="2045" spans="1:12" ht="15" customHeight="1" x14ac:dyDescent="0.3">
      <c r="A2045" s="82" t="str">
        <f t="shared" si="62"/>
        <v>2016</v>
      </c>
      <c r="B2045" s="72" t="s">
        <v>131</v>
      </c>
      <c r="C2045" s="73" t="s">
        <v>132</v>
      </c>
      <c r="D2045" s="74" t="str">
        <f t="shared" si="63"/>
        <v>ago/2016</v>
      </c>
      <c r="E2045" s="53">
        <v>42597</v>
      </c>
      <c r="F2045" s="75"/>
      <c r="G2045" s="72"/>
      <c r="H2045" s="49" t="s">
        <v>1444</v>
      </c>
      <c r="I2045" s="49" t="s">
        <v>173</v>
      </c>
      <c r="J2045" s="76">
        <v>-428.22</v>
      </c>
      <c r="K2045" s="83" t="str">
        <f>IFERROR(IFERROR(VLOOKUP(I2045,'DE-PARA'!B:D,3,0),VLOOKUP(I2045,'DE-PARA'!C:D,2,0)),"NÃO ENCONTRADO")</f>
        <v>Serviços</v>
      </c>
      <c r="L2045" s="50" t="str">
        <f>VLOOKUP(K2045,'Base -Receita-Despesa'!$B:$P,1,FALSE)</f>
        <v>Serviços</v>
      </c>
    </row>
    <row r="2046" spans="1:12" ht="15" customHeight="1" x14ac:dyDescent="0.3">
      <c r="A2046" s="82" t="str">
        <f t="shared" si="62"/>
        <v>2016</v>
      </c>
      <c r="B2046" s="72" t="s">
        <v>131</v>
      </c>
      <c r="C2046" s="73" t="s">
        <v>132</v>
      </c>
      <c r="D2046" s="74" t="str">
        <f t="shared" si="63"/>
        <v>ago/2016</v>
      </c>
      <c r="E2046" s="53">
        <v>42597</v>
      </c>
      <c r="F2046" s="75"/>
      <c r="G2046" s="72"/>
      <c r="H2046" s="49" t="s">
        <v>1445</v>
      </c>
      <c r="I2046" s="49" t="s">
        <v>171</v>
      </c>
      <c r="J2046" s="76">
        <v>-320.14</v>
      </c>
      <c r="K2046" s="83" t="str">
        <f>IFERROR(IFERROR(VLOOKUP(I2046,'DE-PARA'!B:D,3,0),VLOOKUP(I2046,'DE-PARA'!C:D,2,0)),"NÃO ENCONTRADO")</f>
        <v>Serviços</v>
      </c>
      <c r="L2046" s="50" t="str">
        <f>VLOOKUP(K2046,'Base -Receita-Despesa'!$B:$P,1,FALSE)</f>
        <v>Serviços</v>
      </c>
    </row>
    <row r="2047" spans="1:12" ht="15" customHeight="1" x14ac:dyDescent="0.3">
      <c r="A2047" s="82" t="str">
        <f t="shared" si="62"/>
        <v>2016</v>
      </c>
      <c r="B2047" s="72" t="s">
        <v>131</v>
      </c>
      <c r="C2047" s="73" t="s">
        <v>132</v>
      </c>
      <c r="D2047" s="74" t="str">
        <f t="shared" si="63"/>
        <v>ago/2016</v>
      </c>
      <c r="E2047" s="53">
        <v>42597</v>
      </c>
      <c r="F2047" s="75"/>
      <c r="G2047" s="72"/>
      <c r="H2047" s="49" t="s">
        <v>1446</v>
      </c>
      <c r="I2047" s="49" t="s">
        <v>171</v>
      </c>
      <c r="J2047" s="76">
        <v>-792</v>
      </c>
      <c r="K2047" s="83" t="str">
        <f>IFERROR(IFERROR(VLOOKUP(I2047,'DE-PARA'!B:D,3,0),VLOOKUP(I2047,'DE-PARA'!C:D,2,0)),"NÃO ENCONTRADO")</f>
        <v>Serviços</v>
      </c>
      <c r="L2047" s="50" t="str">
        <f>VLOOKUP(K2047,'Base -Receita-Despesa'!$B:$P,1,FALSE)</f>
        <v>Serviços</v>
      </c>
    </row>
    <row r="2048" spans="1:12" ht="15" customHeight="1" x14ac:dyDescent="0.3">
      <c r="A2048" s="82" t="str">
        <f t="shared" si="62"/>
        <v>2016</v>
      </c>
      <c r="B2048" s="72" t="s">
        <v>131</v>
      </c>
      <c r="C2048" s="73" t="s">
        <v>132</v>
      </c>
      <c r="D2048" s="74" t="str">
        <f t="shared" si="63"/>
        <v>ago/2016</v>
      </c>
      <c r="E2048" s="53">
        <v>42597</v>
      </c>
      <c r="F2048" s="75"/>
      <c r="G2048" s="72"/>
      <c r="H2048" s="49" t="s">
        <v>1263</v>
      </c>
      <c r="I2048" s="49" t="s">
        <v>192</v>
      </c>
      <c r="J2048" s="76">
        <v>-30</v>
      </c>
      <c r="K2048" s="83" t="str">
        <f>IFERROR(IFERROR(VLOOKUP(I2048,'DE-PARA'!B:D,3,0),VLOOKUP(I2048,'DE-PARA'!C:D,2,0)),"NÃO ENCONTRADO")</f>
        <v>Materiais</v>
      </c>
      <c r="L2048" s="50" t="str">
        <f>VLOOKUP(K2048,'Base -Receita-Despesa'!$B:$P,1,FALSE)</f>
        <v>Materiais</v>
      </c>
    </row>
    <row r="2049" spans="1:12" ht="15" customHeight="1" x14ac:dyDescent="0.3">
      <c r="A2049" s="82" t="str">
        <f t="shared" si="62"/>
        <v>2016</v>
      </c>
      <c r="B2049" s="72" t="s">
        <v>131</v>
      </c>
      <c r="C2049" s="73" t="s">
        <v>132</v>
      </c>
      <c r="D2049" s="74" t="str">
        <f t="shared" si="63"/>
        <v>ago/2016</v>
      </c>
      <c r="E2049" s="53">
        <v>42597</v>
      </c>
      <c r="F2049" s="75"/>
      <c r="G2049" s="72"/>
      <c r="H2049" s="49" t="s">
        <v>398</v>
      </c>
      <c r="I2049" s="49" t="s">
        <v>192</v>
      </c>
      <c r="J2049" s="76">
        <v>-118.53</v>
      </c>
      <c r="K2049" s="83" t="str">
        <f>IFERROR(IFERROR(VLOOKUP(I2049,'DE-PARA'!B:D,3,0),VLOOKUP(I2049,'DE-PARA'!C:D,2,0)),"NÃO ENCONTRADO")</f>
        <v>Materiais</v>
      </c>
      <c r="L2049" s="50" t="str">
        <f>VLOOKUP(K2049,'Base -Receita-Despesa'!$B:$P,1,FALSE)</f>
        <v>Materiais</v>
      </c>
    </row>
    <row r="2050" spans="1:12" ht="15" customHeight="1" x14ac:dyDescent="0.3">
      <c r="A2050" s="82" t="str">
        <f t="shared" si="62"/>
        <v>2016</v>
      </c>
      <c r="B2050" s="72" t="s">
        <v>131</v>
      </c>
      <c r="C2050" s="73" t="s">
        <v>132</v>
      </c>
      <c r="D2050" s="74" t="str">
        <f t="shared" si="63"/>
        <v>ago/2016</v>
      </c>
      <c r="E2050" s="53">
        <v>42597</v>
      </c>
      <c r="F2050" s="75"/>
      <c r="G2050" s="72"/>
      <c r="H2050" s="49" t="s">
        <v>1432</v>
      </c>
      <c r="I2050" s="49" t="s">
        <v>168</v>
      </c>
      <c r="J2050" s="76">
        <v>-62.64</v>
      </c>
      <c r="K2050" s="83" t="str">
        <f>IFERROR(IFERROR(VLOOKUP(I2050,'DE-PARA'!B:D,3,0),VLOOKUP(I2050,'DE-PARA'!C:D,2,0)),"NÃO ENCONTRADO")</f>
        <v>Pessoal</v>
      </c>
      <c r="L2050" s="50" t="str">
        <f>VLOOKUP(K2050,'Base -Receita-Despesa'!$B:$P,1,FALSE)</f>
        <v>Pessoal</v>
      </c>
    </row>
    <row r="2051" spans="1:12" ht="15" customHeight="1" x14ac:dyDescent="0.3">
      <c r="A2051" s="82" t="str">
        <f t="shared" si="62"/>
        <v>2016</v>
      </c>
      <c r="B2051" s="72" t="s">
        <v>131</v>
      </c>
      <c r="C2051" s="73" t="s">
        <v>132</v>
      </c>
      <c r="D2051" s="74" t="str">
        <f t="shared" si="63"/>
        <v>ago/2016</v>
      </c>
      <c r="E2051" s="53">
        <v>42597</v>
      </c>
      <c r="F2051" s="75"/>
      <c r="G2051" s="72"/>
      <c r="H2051" s="49" t="s">
        <v>1433</v>
      </c>
      <c r="I2051" s="49" t="s">
        <v>168</v>
      </c>
      <c r="J2051" s="76">
        <v>-40.19</v>
      </c>
      <c r="K2051" s="83" t="str">
        <f>IFERROR(IFERROR(VLOOKUP(I2051,'DE-PARA'!B:D,3,0),VLOOKUP(I2051,'DE-PARA'!C:D,2,0)),"NÃO ENCONTRADO")</f>
        <v>Pessoal</v>
      </c>
      <c r="L2051" s="50" t="str">
        <f>VLOOKUP(K2051,'Base -Receita-Despesa'!$B:$P,1,FALSE)</f>
        <v>Pessoal</v>
      </c>
    </row>
    <row r="2052" spans="1:12" ht="15" customHeight="1" x14ac:dyDescent="0.3">
      <c r="A2052" s="82" t="str">
        <f t="shared" ref="A2052:A2115" si="64">IF(K2052="NÃO ENCONTRADO",0,RIGHT(D2052,4))</f>
        <v>2016</v>
      </c>
      <c r="B2052" s="72" t="s">
        <v>131</v>
      </c>
      <c r="C2052" s="73" t="s">
        <v>132</v>
      </c>
      <c r="D2052" s="74" t="str">
        <f t="shared" ref="D2052:D2115" si="65">TEXT(E2052,"mmm/aaaa")</f>
        <v>ago/2016</v>
      </c>
      <c r="E2052" s="53">
        <v>42597</v>
      </c>
      <c r="F2052" s="75"/>
      <c r="G2052" s="72"/>
      <c r="H2052" s="49" t="s">
        <v>391</v>
      </c>
      <c r="I2052" s="49" t="s">
        <v>192</v>
      </c>
      <c r="J2052" s="76">
        <v>-39.6</v>
      </c>
      <c r="K2052" s="83" t="str">
        <f>IFERROR(IFERROR(VLOOKUP(I2052,'DE-PARA'!B:D,3,0),VLOOKUP(I2052,'DE-PARA'!C:D,2,0)),"NÃO ENCONTRADO")</f>
        <v>Materiais</v>
      </c>
      <c r="L2052" s="50" t="str">
        <f>VLOOKUP(K2052,'Base -Receita-Despesa'!$B:$P,1,FALSE)</f>
        <v>Materiais</v>
      </c>
    </row>
    <row r="2053" spans="1:12" ht="15" customHeight="1" x14ac:dyDescent="0.3">
      <c r="A2053" s="82" t="str">
        <f t="shared" si="64"/>
        <v>2016</v>
      </c>
      <c r="B2053" s="72" t="s">
        <v>131</v>
      </c>
      <c r="C2053" s="73" t="s">
        <v>132</v>
      </c>
      <c r="D2053" s="74" t="str">
        <f t="shared" si="65"/>
        <v>ago/2016</v>
      </c>
      <c r="E2053" s="53">
        <v>42597</v>
      </c>
      <c r="F2053" s="75"/>
      <c r="G2053" s="72"/>
      <c r="H2053" s="49" t="s">
        <v>1434</v>
      </c>
      <c r="I2053" s="49" t="s">
        <v>168</v>
      </c>
      <c r="J2053" s="76">
        <v>-48.09</v>
      </c>
      <c r="K2053" s="83" t="str">
        <f>IFERROR(IFERROR(VLOOKUP(I2053,'DE-PARA'!B:D,3,0),VLOOKUP(I2053,'DE-PARA'!C:D,2,0)),"NÃO ENCONTRADO")</f>
        <v>Pessoal</v>
      </c>
      <c r="L2053" s="50" t="str">
        <f>VLOOKUP(K2053,'Base -Receita-Despesa'!$B:$P,1,FALSE)</f>
        <v>Pessoal</v>
      </c>
    </row>
    <row r="2054" spans="1:12" ht="15" customHeight="1" x14ac:dyDescent="0.3">
      <c r="A2054" s="82" t="str">
        <f t="shared" si="64"/>
        <v>2016</v>
      </c>
      <c r="B2054" s="72" t="s">
        <v>131</v>
      </c>
      <c r="C2054" s="73" t="s">
        <v>132</v>
      </c>
      <c r="D2054" s="74" t="str">
        <f t="shared" si="65"/>
        <v>ago/2016</v>
      </c>
      <c r="E2054" s="53">
        <v>42597</v>
      </c>
      <c r="F2054" s="75"/>
      <c r="G2054" s="72"/>
      <c r="H2054" s="49" t="s">
        <v>1447</v>
      </c>
      <c r="I2054" s="49" t="s">
        <v>138</v>
      </c>
      <c r="J2054" s="76">
        <v>-11800</v>
      </c>
      <c r="K2054" s="83" t="str">
        <f>IFERROR(IFERROR(VLOOKUP(I2054,'DE-PARA'!B:D,3,0),VLOOKUP(I2054,'DE-PARA'!C:D,2,0)),"NÃO ENCONTRADO")</f>
        <v>Serviços</v>
      </c>
      <c r="L2054" s="50" t="str">
        <f>VLOOKUP(K2054,'Base -Receita-Despesa'!$B:$P,1,FALSE)</f>
        <v>Serviços</v>
      </c>
    </row>
    <row r="2055" spans="1:12" ht="15" customHeight="1" x14ac:dyDescent="0.3">
      <c r="A2055" s="82" t="str">
        <f t="shared" si="64"/>
        <v>2016</v>
      </c>
      <c r="B2055" s="72" t="s">
        <v>131</v>
      </c>
      <c r="C2055" s="73" t="s">
        <v>132</v>
      </c>
      <c r="D2055" s="74" t="str">
        <f t="shared" si="65"/>
        <v>ago/2016</v>
      </c>
      <c r="E2055" s="53">
        <v>42597</v>
      </c>
      <c r="F2055" s="75"/>
      <c r="G2055" s="72"/>
      <c r="H2055" s="49" t="s">
        <v>166</v>
      </c>
      <c r="I2055" s="49" t="s">
        <v>167</v>
      </c>
      <c r="J2055" s="76">
        <v>-1368.33</v>
      </c>
      <c r="K2055" s="83" t="str">
        <f>IFERROR(IFERROR(VLOOKUP(I2055,'DE-PARA'!B:D,3,0),VLOOKUP(I2055,'DE-PARA'!C:D,2,0)),"NÃO ENCONTRADO")</f>
        <v>Materiais</v>
      </c>
      <c r="L2055" s="50" t="str">
        <f>VLOOKUP(K2055,'Base -Receita-Despesa'!$B:$P,1,FALSE)</f>
        <v>Materiais</v>
      </c>
    </row>
    <row r="2056" spans="1:12" ht="15" customHeight="1" x14ac:dyDescent="0.3">
      <c r="A2056" s="82" t="str">
        <f t="shared" si="64"/>
        <v>2016</v>
      </c>
      <c r="B2056" s="72" t="s">
        <v>131</v>
      </c>
      <c r="C2056" s="73" t="s">
        <v>132</v>
      </c>
      <c r="D2056" s="74" t="str">
        <f t="shared" si="65"/>
        <v>ago/2016</v>
      </c>
      <c r="E2056" s="53">
        <v>42597</v>
      </c>
      <c r="F2056" s="75"/>
      <c r="G2056" s="72"/>
      <c r="H2056" s="49" t="s">
        <v>1426</v>
      </c>
      <c r="I2056" s="49" t="s">
        <v>168</v>
      </c>
      <c r="J2056" s="76">
        <v>-30.58</v>
      </c>
      <c r="K2056" s="83" t="str">
        <f>IFERROR(IFERROR(VLOOKUP(I2056,'DE-PARA'!B:D,3,0),VLOOKUP(I2056,'DE-PARA'!C:D,2,0)),"NÃO ENCONTRADO")</f>
        <v>Pessoal</v>
      </c>
      <c r="L2056" s="50" t="str">
        <f>VLOOKUP(K2056,'Base -Receita-Despesa'!$B:$P,1,FALSE)</f>
        <v>Pessoal</v>
      </c>
    </row>
    <row r="2057" spans="1:12" ht="15" customHeight="1" x14ac:dyDescent="0.3">
      <c r="A2057" s="82" t="str">
        <f t="shared" si="64"/>
        <v>2016</v>
      </c>
      <c r="B2057" s="72" t="s">
        <v>131</v>
      </c>
      <c r="C2057" s="73" t="s">
        <v>132</v>
      </c>
      <c r="D2057" s="74" t="str">
        <f t="shared" si="65"/>
        <v>ago/2016</v>
      </c>
      <c r="E2057" s="53">
        <v>42597</v>
      </c>
      <c r="F2057" s="75"/>
      <c r="G2057" s="72"/>
      <c r="H2057" s="49" t="s">
        <v>225</v>
      </c>
      <c r="I2057" s="49" t="s">
        <v>110</v>
      </c>
      <c r="J2057" s="76">
        <v>-10000</v>
      </c>
      <c r="K2057" s="83" t="str">
        <f>IFERROR(IFERROR(VLOOKUP(I2057,'DE-PARA'!B:D,3,0),VLOOKUP(I2057,'DE-PARA'!C:D,2,0)),"NÃO ENCONTRADO")</f>
        <v>Serviços</v>
      </c>
      <c r="L2057" s="50" t="str">
        <f>VLOOKUP(K2057,'Base -Receita-Despesa'!$B:$P,1,FALSE)</f>
        <v>Serviços</v>
      </c>
    </row>
    <row r="2058" spans="1:12" ht="15" customHeight="1" x14ac:dyDescent="0.3">
      <c r="A2058" s="82" t="str">
        <f t="shared" si="64"/>
        <v>2016</v>
      </c>
      <c r="B2058" s="72" t="s">
        <v>131</v>
      </c>
      <c r="C2058" s="73" t="s">
        <v>132</v>
      </c>
      <c r="D2058" s="74" t="str">
        <f t="shared" si="65"/>
        <v>ago/2016</v>
      </c>
      <c r="E2058" s="53">
        <v>42597</v>
      </c>
      <c r="F2058" s="75"/>
      <c r="G2058" s="72"/>
      <c r="H2058" s="49" t="s">
        <v>1055</v>
      </c>
      <c r="I2058" s="49" t="s">
        <v>1056</v>
      </c>
      <c r="J2058" s="76">
        <v>4336.04</v>
      </c>
      <c r="K2058" s="83" t="str">
        <f>IFERROR(IFERROR(VLOOKUP(I2058,'DE-PARA'!B:D,3,0),VLOOKUP(I2058,'DE-PARA'!C:D,2,0)),"NÃO ENCONTRADO")</f>
        <v>ENTRADA CONTA APLICAÇÃO (+)</v>
      </c>
      <c r="L2058" s="50" t="str">
        <f>VLOOKUP(K2058,'Base -Receita-Despesa'!$B:$P,1,FALSE)</f>
        <v>ENTRADA CONTA APLICAÇÃO (+)</v>
      </c>
    </row>
    <row r="2059" spans="1:12" ht="15" customHeight="1" x14ac:dyDescent="0.3">
      <c r="A2059" s="82" t="str">
        <f t="shared" si="64"/>
        <v>2016</v>
      </c>
      <c r="B2059" s="72" t="s">
        <v>131</v>
      </c>
      <c r="C2059" s="73" t="s">
        <v>132</v>
      </c>
      <c r="D2059" s="74" t="str">
        <f t="shared" si="65"/>
        <v>ago/2016</v>
      </c>
      <c r="E2059" s="53">
        <v>42597</v>
      </c>
      <c r="F2059" s="75"/>
      <c r="G2059" s="72"/>
      <c r="H2059" s="49" t="s">
        <v>213</v>
      </c>
      <c r="I2059" s="49" t="s">
        <v>159</v>
      </c>
      <c r="J2059" s="76">
        <v>-3895.93</v>
      </c>
      <c r="K2059" s="83" t="str">
        <f>IFERROR(IFERROR(VLOOKUP(I2059,'DE-PARA'!B:D,3,0),VLOOKUP(I2059,'DE-PARA'!C:D,2,0)),"NÃO ENCONTRADO")</f>
        <v>Materiais</v>
      </c>
      <c r="L2059" s="50" t="str">
        <f>VLOOKUP(K2059,'Base -Receita-Despesa'!$B:$P,1,FALSE)</f>
        <v>Materiais</v>
      </c>
    </row>
    <row r="2060" spans="1:12" ht="15" customHeight="1" x14ac:dyDescent="0.3">
      <c r="A2060" s="82" t="str">
        <f t="shared" si="64"/>
        <v>2016</v>
      </c>
      <c r="B2060" s="72" t="s">
        <v>131</v>
      </c>
      <c r="C2060" s="73" t="s">
        <v>132</v>
      </c>
      <c r="D2060" s="74" t="str">
        <f t="shared" si="65"/>
        <v>ago/2016</v>
      </c>
      <c r="E2060" s="53">
        <v>42597</v>
      </c>
      <c r="F2060" s="75"/>
      <c r="G2060" s="72"/>
      <c r="H2060" s="49" t="s">
        <v>213</v>
      </c>
      <c r="I2060" s="49" t="s">
        <v>159</v>
      </c>
      <c r="J2060" s="76">
        <v>-1745.77</v>
      </c>
      <c r="K2060" s="83" t="str">
        <f>IFERROR(IFERROR(VLOOKUP(I2060,'DE-PARA'!B:D,3,0),VLOOKUP(I2060,'DE-PARA'!C:D,2,0)),"NÃO ENCONTRADO")</f>
        <v>Materiais</v>
      </c>
      <c r="L2060" s="50" t="str">
        <f>VLOOKUP(K2060,'Base -Receita-Despesa'!$B:$P,1,FALSE)</f>
        <v>Materiais</v>
      </c>
    </row>
    <row r="2061" spans="1:12" ht="15" customHeight="1" x14ac:dyDescent="0.3">
      <c r="A2061" s="82" t="str">
        <f t="shared" si="64"/>
        <v>2016</v>
      </c>
      <c r="B2061" s="72" t="s">
        <v>131</v>
      </c>
      <c r="C2061" s="73" t="s">
        <v>132</v>
      </c>
      <c r="D2061" s="74" t="str">
        <f t="shared" si="65"/>
        <v>ago/2016</v>
      </c>
      <c r="E2061" s="53">
        <v>42597</v>
      </c>
      <c r="F2061" s="75"/>
      <c r="G2061" s="72"/>
      <c r="H2061" s="49" t="s">
        <v>213</v>
      </c>
      <c r="I2061" s="49" t="s">
        <v>159</v>
      </c>
      <c r="J2061" s="76">
        <v>-1745.76</v>
      </c>
      <c r="K2061" s="83" t="str">
        <f>IFERROR(IFERROR(VLOOKUP(I2061,'DE-PARA'!B:D,3,0),VLOOKUP(I2061,'DE-PARA'!C:D,2,0)),"NÃO ENCONTRADO")</f>
        <v>Materiais</v>
      </c>
      <c r="L2061" s="50" t="str">
        <f>VLOOKUP(K2061,'Base -Receita-Despesa'!$B:$P,1,FALSE)</f>
        <v>Materiais</v>
      </c>
    </row>
    <row r="2062" spans="1:12" ht="15" customHeight="1" x14ac:dyDescent="0.3">
      <c r="A2062" s="82" t="str">
        <f t="shared" si="64"/>
        <v>2016</v>
      </c>
      <c r="B2062" s="72" t="s">
        <v>131</v>
      </c>
      <c r="C2062" s="73" t="s">
        <v>132</v>
      </c>
      <c r="D2062" s="74" t="str">
        <f t="shared" si="65"/>
        <v>ago/2016</v>
      </c>
      <c r="E2062" s="53">
        <v>42597</v>
      </c>
      <c r="F2062" s="75"/>
      <c r="G2062" s="72"/>
      <c r="H2062" s="49" t="s">
        <v>213</v>
      </c>
      <c r="I2062" s="49" t="s">
        <v>159</v>
      </c>
      <c r="J2062" s="76">
        <v>-721.1</v>
      </c>
      <c r="K2062" s="83" t="str">
        <f>IFERROR(IFERROR(VLOOKUP(I2062,'DE-PARA'!B:D,3,0),VLOOKUP(I2062,'DE-PARA'!C:D,2,0)),"NÃO ENCONTRADO")</f>
        <v>Materiais</v>
      </c>
      <c r="L2062" s="50" t="str">
        <f>VLOOKUP(K2062,'Base -Receita-Despesa'!$B:$P,1,FALSE)</f>
        <v>Materiais</v>
      </c>
    </row>
    <row r="2063" spans="1:12" ht="15" customHeight="1" x14ac:dyDescent="0.3">
      <c r="A2063" s="82" t="str">
        <f t="shared" si="64"/>
        <v>2016</v>
      </c>
      <c r="B2063" s="72" t="s">
        <v>131</v>
      </c>
      <c r="C2063" s="73" t="s">
        <v>132</v>
      </c>
      <c r="D2063" s="74" t="str">
        <f t="shared" si="65"/>
        <v>ago/2016</v>
      </c>
      <c r="E2063" s="53">
        <v>42597</v>
      </c>
      <c r="F2063" s="75"/>
      <c r="G2063" s="72"/>
      <c r="H2063" s="49" t="s">
        <v>213</v>
      </c>
      <c r="I2063" s="49" t="s">
        <v>159</v>
      </c>
      <c r="J2063" s="76">
        <v>-114</v>
      </c>
      <c r="K2063" s="83" t="str">
        <f>IFERROR(IFERROR(VLOOKUP(I2063,'DE-PARA'!B:D,3,0),VLOOKUP(I2063,'DE-PARA'!C:D,2,0)),"NÃO ENCONTRADO")</f>
        <v>Materiais</v>
      </c>
      <c r="L2063" s="50" t="str">
        <f>VLOOKUP(K2063,'Base -Receita-Despesa'!$B:$P,1,FALSE)</f>
        <v>Materiais</v>
      </c>
    </row>
    <row r="2064" spans="1:12" ht="15" customHeight="1" x14ac:dyDescent="0.3">
      <c r="A2064" s="82" t="str">
        <f t="shared" si="64"/>
        <v>2016</v>
      </c>
      <c r="B2064" s="72" t="s">
        <v>131</v>
      </c>
      <c r="C2064" s="73" t="s">
        <v>132</v>
      </c>
      <c r="D2064" s="74" t="str">
        <f t="shared" si="65"/>
        <v>ago/2016</v>
      </c>
      <c r="E2064" s="53">
        <v>42597</v>
      </c>
      <c r="F2064" s="75"/>
      <c r="G2064" s="72"/>
      <c r="H2064" s="49" t="s">
        <v>213</v>
      </c>
      <c r="I2064" s="49" t="s">
        <v>159</v>
      </c>
      <c r="J2064" s="76">
        <v>-3729.94</v>
      </c>
      <c r="K2064" s="83" t="str">
        <f>IFERROR(IFERROR(VLOOKUP(I2064,'DE-PARA'!B:D,3,0),VLOOKUP(I2064,'DE-PARA'!C:D,2,0)),"NÃO ENCONTRADO")</f>
        <v>Materiais</v>
      </c>
      <c r="L2064" s="50" t="str">
        <f>VLOOKUP(K2064,'Base -Receita-Despesa'!$B:$P,1,FALSE)</f>
        <v>Materiais</v>
      </c>
    </row>
    <row r="2065" spans="1:12" ht="15" customHeight="1" x14ac:dyDescent="0.3">
      <c r="A2065" s="82" t="str">
        <f t="shared" si="64"/>
        <v>2016</v>
      </c>
      <c r="B2065" s="72" t="s">
        <v>131</v>
      </c>
      <c r="C2065" s="73" t="s">
        <v>132</v>
      </c>
      <c r="D2065" s="74" t="str">
        <f t="shared" si="65"/>
        <v>ago/2016</v>
      </c>
      <c r="E2065" s="53">
        <v>42597</v>
      </c>
      <c r="F2065" s="75"/>
      <c r="G2065" s="72"/>
      <c r="H2065" s="49" t="s">
        <v>213</v>
      </c>
      <c r="I2065" s="49" t="s">
        <v>159</v>
      </c>
      <c r="J2065" s="76">
        <v>-3316.99</v>
      </c>
      <c r="K2065" s="83" t="str">
        <f>IFERROR(IFERROR(VLOOKUP(I2065,'DE-PARA'!B:D,3,0),VLOOKUP(I2065,'DE-PARA'!C:D,2,0)),"NÃO ENCONTRADO")</f>
        <v>Materiais</v>
      </c>
      <c r="L2065" s="50" t="str">
        <f>VLOOKUP(K2065,'Base -Receita-Despesa'!$B:$P,1,FALSE)</f>
        <v>Materiais</v>
      </c>
    </row>
    <row r="2066" spans="1:12" ht="15" customHeight="1" x14ac:dyDescent="0.3">
      <c r="A2066" s="82" t="str">
        <f t="shared" si="64"/>
        <v>2016</v>
      </c>
      <c r="B2066" s="72" t="s">
        <v>131</v>
      </c>
      <c r="C2066" s="73" t="s">
        <v>132</v>
      </c>
      <c r="D2066" s="74" t="str">
        <f t="shared" si="65"/>
        <v>ago/2016</v>
      </c>
      <c r="E2066" s="53">
        <v>42597</v>
      </c>
      <c r="F2066" s="75"/>
      <c r="G2066" s="72"/>
      <c r="H2066" s="49" t="s">
        <v>213</v>
      </c>
      <c r="I2066" s="49" t="s">
        <v>159</v>
      </c>
      <c r="J2066" s="76">
        <v>-2749.94</v>
      </c>
      <c r="K2066" s="83" t="str">
        <f>IFERROR(IFERROR(VLOOKUP(I2066,'DE-PARA'!B:D,3,0),VLOOKUP(I2066,'DE-PARA'!C:D,2,0)),"NÃO ENCONTRADO")</f>
        <v>Materiais</v>
      </c>
      <c r="L2066" s="50" t="str">
        <f>VLOOKUP(K2066,'Base -Receita-Despesa'!$B:$P,1,FALSE)</f>
        <v>Materiais</v>
      </c>
    </row>
    <row r="2067" spans="1:12" ht="15" customHeight="1" x14ac:dyDescent="0.3">
      <c r="A2067" s="82" t="str">
        <f t="shared" si="64"/>
        <v>2016</v>
      </c>
      <c r="B2067" s="72" t="s">
        <v>131</v>
      </c>
      <c r="C2067" s="73" t="s">
        <v>132</v>
      </c>
      <c r="D2067" s="74" t="str">
        <f t="shared" si="65"/>
        <v>ago/2016</v>
      </c>
      <c r="E2067" s="53">
        <v>42597</v>
      </c>
      <c r="F2067" s="75"/>
      <c r="G2067" s="72"/>
      <c r="H2067" s="49" t="s">
        <v>213</v>
      </c>
      <c r="I2067" s="49" t="s">
        <v>159</v>
      </c>
      <c r="J2067" s="76">
        <v>-2280.8000000000002</v>
      </c>
      <c r="K2067" s="83" t="str">
        <f>IFERROR(IFERROR(VLOOKUP(I2067,'DE-PARA'!B:D,3,0),VLOOKUP(I2067,'DE-PARA'!C:D,2,0)),"NÃO ENCONTRADO")</f>
        <v>Materiais</v>
      </c>
      <c r="L2067" s="50" t="str">
        <f>VLOOKUP(K2067,'Base -Receita-Despesa'!$B:$P,1,FALSE)</f>
        <v>Materiais</v>
      </c>
    </row>
    <row r="2068" spans="1:12" ht="15" customHeight="1" x14ac:dyDescent="0.3">
      <c r="A2068" s="82" t="str">
        <f t="shared" si="64"/>
        <v>2016</v>
      </c>
      <c r="B2068" s="72" t="s">
        <v>131</v>
      </c>
      <c r="C2068" s="73" t="s">
        <v>132</v>
      </c>
      <c r="D2068" s="74" t="str">
        <f t="shared" si="65"/>
        <v>ago/2016</v>
      </c>
      <c r="E2068" s="53">
        <v>42597</v>
      </c>
      <c r="F2068" s="75"/>
      <c r="G2068" s="72"/>
      <c r="H2068" s="49" t="s">
        <v>213</v>
      </c>
      <c r="I2068" s="49" t="s">
        <v>159</v>
      </c>
      <c r="J2068" s="76">
        <v>-1551.43</v>
      </c>
      <c r="K2068" s="83" t="str">
        <f>IFERROR(IFERROR(VLOOKUP(I2068,'DE-PARA'!B:D,3,0),VLOOKUP(I2068,'DE-PARA'!C:D,2,0)),"NÃO ENCONTRADO")</f>
        <v>Materiais</v>
      </c>
      <c r="L2068" s="50" t="str">
        <f>VLOOKUP(K2068,'Base -Receita-Despesa'!$B:$P,1,FALSE)</f>
        <v>Materiais</v>
      </c>
    </row>
    <row r="2069" spans="1:12" ht="15" customHeight="1" x14ac:dyDescent="0.3">
      <c r="A2069" s="82" t="str">
        <f t="shared" si="64"/>
        <v>2016</v>
      </c>
      <c r="B2069" s="72" t="s">
        <v>131</v>
      </c>
      <c r="C2069" s="73" t="s">
        <v>132</v>
      </c>
      <c r="D2069" s="74" t="str">
        <f t="shared" si="65"/>
        <v>ago/2016</v>
      </c>
      <c r="E2069" s="53">
        <v>42597</v>
      </c>
      <c r="F2069" s="75"/>
      <c r="G2069" s="72"/>
      <c r="H2069" s="49" t="s">
        <v>213</v>
      </c>
      <c r="I2069" s="49" t="s">
        <v>159</v>
      </c>
      <c r="J2069" s="76">
        <v>-1134.48</v>
      </c>
      <c r="K2069" s="83" t="str">
        <f>IFERROR(IFERROR(VLOOKUP(I2069,'DE-PARA'!B:D,3,0),VLOOKUP(I2069,'DE-PARA'!C:D,2,0)),"NÃO ENCONTRADO")</f>
        <v>Materiais</v>
      </c>
      <c r="L2069" s="50" t="str">
        <f>VLOOKUP(K2069,'Base -Receita-Despesa'!$B:$P,1,FALSE)</f>
        <v>Materiais</v>
      </c>
    </row>
    <row r="2070" spans="1:12" ht="15" customHeight="1" x14ac:dyDescent="0.3">
      <c r="A2070" s="82" t="str">
        <f t="shared" si="64"/>
        <v>2016</v>
      </c>
      <c r="B2070" s="72" t="s">
        <v>131</v>
      </c>
      <c r="C2070" s="73" t="s">
        <v>132</v>
      </c>
      <c r="D2070" s="74" t="str">
        <f t="shared" si="65"/>
        <v>ago/2016</v>
      </c>
      <c r="E2070" s="53">
        <v>42597</v>
      </c>
      <c r="F2070" s="75"/>
      <c r="G2070" s="72"/>
      <c r="H2070" s="49" t="s">
        <v>213</v>
      </c>
      <c r="I2070" s="49" t="s">
        <v>159</v>
      </c>
      <c r="J2070" s="76">
        <v>-916.87</v>
      </c>
      <c r="K2070" s="83" t="str">
        <f>IFERROR(IFERROR(VLOOKUP(I2070,'DE-PARA'!B:D,3,0),VLOOKUP(I2070,'DE-PARA'!C:D,2,0)),"NÃO ENCONTRADO")</f>
        <v>Materiais</v>
      </c>
      <c r="L2070" s="50" t="str">
        <f>VLOOKUP(K2070,'Base -Receita-Despesa'!$B:$P,1,FALSE)</f>
        <v>Materiais</v>
      </c>
    </row>
    <row r="2071" spans="1:12" ht="15" customHeight="1" x14ac:dyDescent="0.3">
      <c r="A2071" s="82" t="str">
        <f t="shared" si="64"/>
        <v>2016</v>
      </c>
      <c r="B2071" s="72" t="s">
        <v>131</v>
      </c>
      <c r="C2071" s="73" t="s">
        <v>132</v>
      </c>
      <c r="D2071" s="74" t="str">
        <f t="shared" si="65"/>
        <v>ago/2016</v>
      </c>
      <c r="E2071" s="53">
        <v>42597</v>
      </c>
      <c r="F2071" s="75"/>
      <c r="G2071" s="72"/>
      <c r="H2071" s="49" t="s">
        <v>213</v>
      </c>
      <c r="I2071" s="49" t="s">
        <v>159</v>
      </c>
      <c r="J2071" s="76">
        <v>-581</v>
      </c>
      <c r="K2071" s="83" t="str">
        <f>IFERROR(IFERROR(VLOOKUP(I2071,'DE-PARA'!B:D,3,0),VLOOKUP(I2071,'DE-PARA'!C:D,2,0)),"NÃO ENCONTRADO")</f>
        <v>Materiais</v>
      </c>
      <c r="L2071" s="50" t="str">
        <f>VLOOKUP(K2071,'Base -Receita-Despesa'!$B:$P,1,FALSE)</f>
        <v>Materiais</v>
      </c>
    </row>
    <row r="2072" spans="1:12" ht="15" customHeight="1" x14ac:dyDescent="0.3">
      <c r="A2072" s="82" t="str">
        <f t="shared" si="64"/>
        <v>2016</v>
      </c>
      <c r="B2072" s="72" t="s">
        <v>131</v>
      </c>
      <c r="C2072" s="73" t="s">
        <v>132</v>
      </c>
      <c r="D2072" s="74" t="str">
        <f t="shared" si="65"/>
        <v>ago/2016</v>
      </c>
      <c r="E2072" s="53">
        <v>42597</v>
      </c>
      <c r="F2072" s="75"/>
      <c r="G2072" s="72"/>
      <c r="H2072" s="49" t="s">
        <v>213</v>
      </c>
      <c r="I2072" s="49" t="s">
        <v>159</v>
      </c>
      <c r="J2072" s="76">
        <v>-3895.94</v>
      </c>
      <c r="K2072" s="83" t="str">
        <f>IFERROR(IFERROR(VLOOKUP(I2072,'DE-PARA'!B:D,3,0),VLOOKUP(I2072,'DE-PARA'!C:D,2,0)),"NÃO ENCONTRADO")</f>
        <v>Materiais</v>
      </c>
      <c r="L2072" s="50" t="str">
        <f>VLOOKUP(K2072,'Base -Receita-Despesa'!$B:$P,1,FALSE)</f>
        <v>Materiais</v>
      </c>
    </row>
    <row r="2073" spans="1:12" ht="15" customHeight="1" x14ac:dyDescent="0.3">
      <c r="A2073" s="82" t="str">
        <f t="shared" si="64"/>
        <v>2016</v>
      </c>
      <c r="B2073" s="72" t="s">
        <v>131</v>
      </c>
      <c r="C2073" s="73" t="s">
        <v>132</v>
      </c>
      <c r="D2073" s="74" t="str">
        <f t="shared" si="65"/>
        <v>ago/2016</v>
      </c>
      <c r="E2073" s="53">
        <v>42597</v>
      </c>
      <c r="F2073" s="75"/>
      <c r="G2073" s="72"/>
      <c r="H2073" s="49" t="s">
        <v>213</v>
      </c>
      <c r="I2073" s="49" t="s">
        <v>159</v>
      </c>
      <c r="J2073" s="76">
        <v>-2749.95</v>
      </c>
      <c r="K2073" s="83" t="str">
        <f>IFERROR(IFERROR(VLOOKUP(I2073,'DE-PARA'!B:D,3,0),VLOOKUP(I2073,'DE-PARA'!C:D,2,0)),"NÃO ENCONTRADO")</f>
        <v>Materiais</v>
      </c>
      <c r="L2073" s="50" t="str">
        <f>VLOOKUP(K2073,'Base -Receita-Despesa'!$B:$P,1,FALSE)</f>
        <v>Materiais</v>
      </c>
    </row>
    <row r="2074" spans="1:12" ht="15" customHeight="1" x14ac:dyDescent="0.3">
      <c r="A2074" s="82" t="str">
        <f t="shared" si="64"/>
        <v>2016</v>
      </c>
      <c r="B2074" s="72" t="s">
        <v>131</v>
      </c>
      <c r="C2074" s="73" t="s">
        <v>132</v>
      </c>
      <c r="D2074" s="74" t="str">
        <f t="shared" si="65"/>
        <v>ago/2016</v>
      </c>
      <c r="E2074" s="53">
        <v>42597</v>
      </c>
      <c r="F2074" s="75"/>
      <c r="G2074" s="72"/>
      <c r="H2074" s="49" t="s">
        <v>128</v>
      </c>
      <c r="I2074" s="49" t="s">
        <v>192</v>
      </c>
      <c r="J2074" s="76">
        <v>-37.18</v>
      </c>
      <c r="K2074" s="83" t="str">
        <f>IFERROR(IFERROR(VLOOKUP(I2074,'DE-PARA'!B:D,3,0),VLOOKUP(I2074,'DE-PARA'!C:D,2,0)),"NÃO ENCONTRADO")</f>
        <v>Materiais</v>
      </c>
      <c r="L2074" s="50" t="str">
        <f>VLOOKUP(K2074,'Base -Receita-Despesa'!$B:$P,1,FALSE)</f>
        <v>Materiais</v>
      </c>
    </row>
    <row r="2075" spans="1:12" ht="15" customHeight="1" x14ac:dyDescent="0.3">
      <c r="A2075" s="82" t="str">
        <f t="shared" si="64"/>
        <v>2016</v>
      </c>
      <c r="B2075" s="72" t="s">
        <v>131</v>
      </c>
      <c r="C2075" s="73" t="s">
        <v>132</v>
      </c>
      <c r="D2075" s="74" t="str">
        <f t="shared" si="65"/>
        <v>ago/2016</v>
      </c>
      <c r="E2075" s="53">
        <v>42597</v>
      </c>
      <c r="F2075" s="75"/>
      <c r="G2075" s="72"/>
      <c r="H2075" s="49" t="s">
        <v>128</v>
      </c>
      <c r="I2075" s="49" t="s">
        <v>192</v>
      </c>
      <c r="J2075" s="76">
        <v>-23.5</v>
      </c>
      <c r="K2075" s="83" t="str">
        <f>IFERROR(IFERROR(VLOOKUP(I2075,'DE-PARA'!B:D,3,0),VLOOKUP(I2075,'DE-PARA'!C:D,2,0)),"NÃO ENCONTRADO")</f>
        <v>Materiais</v>
      </c>
      <c r="L2075" s="50" t="str">
        <f>VLOOKUP(K2075,'Base -Receita-Despesa'!$B:$P,1,FALSE)</f>
        <v>Materiais</v>
      </c>
    </row>
    <row r="2076" spans="1:12" ht="15" customHeight="1" x14ac:dyDescent="0.3">
      <c r="A2076" s="82" t="str">
        <f t="shared" si="64"/>
        <v>2016</v>
      </c>
      <c r="B2076" s="72" t="s">
        <v>131</v>
      </c>
      <c r="C2076" s="73" t="s">
        <v>132</v>
      </c>
      <c r="D2076" s="74" t="str">
        <f t="shared" si="65"/>
        <v>ago/2016</v>
      </c>
      <c r="E2076" s="53">
        <v>42597</v>
      </c>
      <c r="F2076" s="75"/>
      <c r="G2076" s="72"/>
      <c r="H2076" s="49" t="s">
        <v>215</v>
      </c>
      <c r="I2076" s="49" t="s">
        <v>167</v>
      </c>
      <c r="J2076" s="76">
        <v>-144.55000000000001</v>
      </c>
      <c r="K2076" s="83" t="str">
        <f>IFERROR(IFERROR(VLOOKUP(I2076,'DE-PARA'!B:D,3,0),VLOOKUP(I2076,'DE-PARA'!C:D,2,0)),"NÃO ENCONTRADO")</f>
        <v>Materiais</v>
      </c>
      <c r="L2076" s="50" t="str">
        <f>VLOOKUP(K2076,'Base -Receita-Despesa'!$B:$P,1,FALSE)</f>
        <v>Materiais</v>
      </c>
    </row>
    <row r="2077" spans="1:12" ht="15" customHeight="1" x14ac:dyDescent="0.3">
      <c r="A2077" s="82" t="str">
        <f t="shared" si="64"/>
        <v>2016</v>
      </c>
      <c r="B2077" s="72" t="s">
        <v>131</v>
      </c>
      <c r="C2077" s="73" t="s">
        <v>132</v>
      </c>
      <c r="D2077" s="74" t="str">
        <f t="shared" si="65"/>
        <v>ago/2016</v>
      </c>
      <c r="E2077" s="53">
        <v>42597</v>
      </c>
      <c r="F2077" s="75"/>
      <c r="G2077" s="72"/>
      <c r="H2077" s="49" t="s">
        <v>216</v>
      </c>
      <c r="I2077" s="49" t="s">
        <v>196</v>
      </c>
      <c r="J2077" s="76">
        <v>-970.8</v>
      </c>
      <c r="K2077" s="83" t="str">
        <f>IFERROR(IFERROR(VLOOKUP(I2077,'DE-PARA'!B:D,3,0),VLOOKUP(I2077,'DE-PARA'!C:D,2,0)),"NÃO ENCONTRADO")</f>
        <v>Materiais</v>
      </c>
      <c r="L2077" s="50" t="str">
        <f>VLOOKUP(K2077,'Base -Receita-Despesa'!$B:$P,1,FALSE)</f>
        <v>Materiais</v>
      </c>
    </row>
    <row r="2078" spans="1:12" ht="15" customHeight="1" x14ac:dyDescent="0.3">
      <c r="A2078" s="82" t="str">
        <f t="shared" si="64"/>
        <v>2016</v>
      </c>
      <c r="B2078" s="72" t="s">
        <v>131</v>
      </c>
      <c r="C2078" s="73" t="s">
        <v>132</v>
      </c>
      <c r="D2078" s="74" t="str">
        <f t="shared" si="65"/>
        <v>ago/2016</v>
      </c>
      <c r="E2078" s="53">
        <v>42597</v>
      </c>
      <c r="F2078" s="75"/>
      <c r="G2078" s="72"/>
      <c r="H2078" s="49" t="s">
        <v>216</v>
      </c>
      <c r="I2078" s="49" t="s">
        <v>196</v>
      </c>
      <c r="J2078" s="76">
        <v>-446.6</v>
      </c>
      <c r="K2078" s="83" t="str">
        <f>IFERROR(IFERROR(VLOOKUP(I2078,'DE-PARA'!B:D,3,0),VLOOKUP(I2078,'DE-PARA'!C:D,2,0)),"NÃO ENCONTRADO")</f>
        <v>Materiais</v>
      </c>
      <c r="L2078" s="50" t="str">
        <f>VLOOKUP(K2078,'Base -Receita-Despesa'!$B:$P,1,FALSE)</f>
        <v>Materiais</v>
      </c>
    </row>
    <row r="2079" spans="1:12" ht="15" customHeight="1" x14ac:dyDescent="0.3">
      <c r="A2079" s="82" t="str">
        <f t="shared" si="64"/>
        <v>2016</v>
      </c>
      <c r="B2079" s="72" t="s">
        <v>131</v>
      </c>
      <c r="C2079" s="73" t="s">
        <v>132</v>
      </c>
      <c r="D2079" s="74" t="str">
        <f t="shared" si="65"/>
        <v>ago/2016</v>
      </c>
      <c r="E2079" s="53">
        <v>42597</v>
      </c>
      <c r="F2079" s="75"/>
      <c r="G2079" s="72"/>
      <c r="H2079" s="49" t="s">
        <v>216</v>
      </c>
      <c r="I2079" s="49" t="s">
        <v>196</v>
      </c>
      <c r="J2079" s="76">
        <v>-200.3</v>
      </c>
      <c r="K2079" s="83" t="str">
        <f>IFERROR(IFERROR(VLOOKUP(I2079,'DE-PARA'!B:D,3,0),VLOOKUP(I2079,'DE-PARA'!C:D,2,0)),"NÃO ENCONTRADO")</f>
        <v>Materiais</v>
      </c>
      <c r="L2079" s="50" t="str">
        <f>VLOOKUP(K2079,'Base -Receita-Despesa'!$B:$P,1,FALSE)</f>
        <v>Materiais</v>
      </c>
    </row>
    <row r="2080" spans="1:12" ht="15" customHeight="1" x14ac:dyDescent="0.3">
      <c r="A2080" s="82" t="str">
        <f t="shared" si="64"/>
        <v>2016</v>
      </c>
      <c r="B2080" s="72" t="s">
        <v>131</v>
      </c>
      <c r="C2080" s="73" t="s">
        <v>132</v>
      </c>
      <c r="D2080" s="74" t="str">
        <f t="shared" si="65"/>
        <v>ago/2016</v>
      </c>
      <c r="E2080" s="53">
        <v>42597</v>
      </c>
      <c r="F2080" s="75"/>
      <c r="G2080" s="72"/>
      <c r="H2080" s="49" t="s">
        <v>229</v>
      </c>
      <c r="I2080" s="49" t="s">
        <v>159</v>
      </c>
      <c r="J2080" s="76">
        <v>-913.5</v>
      </c>
      <c r="K2080" s="83" t="str">
        <f>IFERROR(IFERROR(VLOOKUP(I2080,'DE-PARA'!B:D,3,0),VLOOKUP(I2080,'DE-PARA'!C:D,2,0)),"NÃO ENCONTRADO")</f>
        <v>Materiais</v>
      </c>
      <c r="L2080" s="50" t="str">
        <f>VLOOKUP(K2080,'Base -Receita-Despesa'!$B:$P,1,FALSE)</f>
        <v>Materiais</v>
      </c>
    </row>
    <row r="2081" spans="1:12" ht="15" customHeight="1" x14ac:dyDescent="0.3">
      <c r="A2081" s="82" t="str">
        <f t="shared" si="64"/>
        <v>2016</v>
      </c>
      <c r="B2081" s="72" t="s">
        <v>131</v>
      </c>
      <c r="C2081" s="73" t="s">
        <v>132</v>
      </c>
      <c r="D2081" s="74" t="str">
        <f t="shared" si="65"/>
        <v>ago/2016</v>
      </c>
      <c r="E2081" s="53">
        <v>42597</v>
      </c>
      <c r="F2081" s="75"/>
      <c r="G2081" s="72"/>
      <c r="H2081" s="49" t="s">
        <v>229</v>
      </c>
      <c r="I2081" s="49" t="s">
        <v>159</v>
      </c>
      <c r="J2081" s="76">
        <v>-807.31</v>
      </c>
      <c r="K2081" s="83" t="str">
        <f>IFERROR(IFERROR(VLOOKUP(I2081,'DE-PARA'!B:D,3,0),VLOOKUP(I2081,'DE-PARA'!C:D,2,0)),"NÃO ENCONTRADO")</f>
        <v>Materiais</v>
      </c>
      <c r="L2081" s="50" t="str">
        <f>VLOOKUP(K2081,'Base -Receita-Despesa'!$B:$P,1,FALSE)</f>
        <v>Materiais</v>
      </c>
    </row>
    <row r="2082" spans="1:12" ht="15" customHeight="1" x14ac:dyDescent="0.3">
      <c r="A2082" s="82" t="str">
        <f t="shared" si="64"/>
        <v>2016</v>
      </c>
      <c r="B2082" s="72" t="s">
        <v>131</v>
      </c>
      <c r="C2082" s="73" t="s">
        <v>132</v>
      </c>
      <c r="D2082" s="74" t="str">
        <f t="shared" si="65"/>
        <v>ago/2016</v>
      </c>
      <c r="E2082" s="53">
        <v>42597</v>
      </c>
      <c r="F2082" s="75"/>
      <c r="G2082" s="72"/>
      <c r="H2082" s="49" t="s">
        <v>229</v>
      </c>
      <c r="I2082" s="49" t="s">
        <v>159</v>
      </c>
      <c r="J2082" s="76">
        <v>-392.79</v>
      </c>
      <c r="K2082" s="83" t="str">
        <f>IFERROR(IFERROR(VLOOKUP(I2082,'DE-PARA'!B:D,3,0),VLOOKUP(I2082,'DE-PARA'!C:D,2,0)),"NÃO ENCONTRADO")</f>
        <v>Materiais</v>
      </c>
      <c r="L2082" s="50" t="str">
        <f>VLOOKUP(K2082,'Base -Receita-Despesa'!$B:$P,1,FALSE)</f>
        <v>Materiais</v>
      </c>
    </row>
    <row r="2083" spans="1:12" ht="15" customHeight="1" x14ac:dyDescent="0.3">
      <c r="A2083" s="82" t="str">
        <f t="shared" si="64"/>
        <v>2016</v>
      </c>
      <c r="B2083" s="72" t="s">
        <v>131</v>
      </c>
      <c r="C2083" s="73" t="s">
        <v>132</v>
      </c>
      <c r="D2083" s="74" t="str">
        <f t="shared" si="65"/>
        <v>ago/2016</v>
      </c>
      <c r="E2083" s="53">
        <v>42597</v>
      </c>
      <c r="F2083" s="75"/>
      <c r="G2083" s="72"/>
      <c r="H2083" s="49" t="s">
        <v>229</v>
      </c>
      <c r="I2083" s="49" t="s">
        <v>159</v>
      </c>
      <c r="J2083" s="76">
        <v>-392.78</v>
      </c>
      <c r="K2083" s="83" t="str">
        <f>IFERROR(IFERROR(VLOOKUP(I2083,'DE-PARA'!B:D,3,0),VLOOKUP(I2083,'DE-PARA'!C:D,2,0)),"NÃO ENCONTRADO")</f>
        <v>Materiais</v>
      </c>
      <c r="L2083" s="50" t="str">
        <f>VLOOKUP(K2083,'Base -Receita-Despesa'!$B:$P,1,FALSE)</f>
        <v>Materiais</v>
      </c>
    </row>
    <row r="2084" spans="1:12" ht="15" customHeight="1" x14ac:dyDescent="0.3">
      <c r="A2084" s="82" t="str">
        <f t="shared" si="64"/>
        <v>2016</v>
      </c>
      <c r="B2084" s="72" t="s">
        <v>131</v>
      </c>
      <c r="C2084" s="73" t="s">
        <v>132</v>
      </c>
      <c r="D2084" s="74" t="str">
        <f t="shared" si="65"/>
        <v>ago/2016</v>
      </c>
      <c r="E2084" s="53">
        <v>42597</v>
      </c>
      <c r="F2084" s="75"/>
      <c r="G2084" s="72"/>
      <c r="H2084" s="49" t="s">
        <v>229</v>
      </c>
      <c r="I2084" s="49" t="s">
        <v>159</v>
      </c>
      <c r="J2084" s="76">
        <v>-317.3</v>
      </c>
      <c r="K2084" s="83" t="str">
        <f>IFERROR(IFERROR(VLOOKUP(I2084,'DE-PARA'!B:D,3,0),VLOOKUP(I2084,'DE-PARA'!C:D,2,0)),"NÃO ENCONTRADO")</f>
        <v>Materiais</v>
      </c>
      <c r="L2084" s="50" t="str">
        <f>VLOOKUP(K2084,'Base -Receita-Despesa'!$B:$P,1,FALSE)</f>
        <v>Materiais</v>
      </c>
    </row>
    <row r="2085" spans="1:12" ht="15" customHeight="1" x14ac:dyDescent="0.3">
      <c r="A2085" s="82" t="str">
        <f t="shared" si="64"/>
        <v>2016</v>
      </c>
      <c r="B2085" s="72" t="s">
        <v>131</v>
      </c>
      <c r="C2085" s="73" t="s">
        <v>132</v>
      </c>
      <c r="D2085" s="74" t="str">
        <f t="shared" si="65"/>
        <v>ago/2016</v>
      </c>
      <c r="E2085" s="53">
        <v>42597</v>
      </c>
      <c r="F2085" s="75"/>
      <c r="G2085" s="72"/>
      <c r="H2085" s="49" t="s">
        <v>229</v>
      </c>
      <c r="I2085" s="49" t="s">
        <v>159</v>
      </c>
      <c r="J2085" s="76">
        <v>-200.3</v>
      </c>
      <c r="K2085" s="83" t="str">
        <f>IFERROR(IFERROR(VLOOKUP(I2085,'DE-PARA'!B:D,3,0),VLOOKUP(I2085,'DE-PARA'!C:D,2,0)),"NÃO ENCONTRADO")</f>
        <v>Materiais</v>
      </c>
      <c r="L2085" s="50" t="str">
        <f>VLOOKUP(K2085,'Base -Receita-Despesa'!$B:$P,1,FALSE)</f>
        <v>Materiais</v>
      </c>
    </row>
    <row r="2086" spans="1:12" ht="15" customHeight="1" x14ac:dyDescent="0.3">
      <c r="A2086" s="82" t="str">
        <f t="shared" si="64"/>
        <v>2016</v>
      </c>
      <c r="B2086" s="72" t="s">
        <v>131</v>
      </c>
      <c r="C2086" s="73" t="s">
        <v>132</v>
      </c>
      <c r="D2086" s="74" t="str">
        <f t="shared" si="65"/>
        <v>ago/2016</v>
      </c>
      <c r="E2086" s="53">
        <v>42597</v>
      </c>
      <c r="F2086" s="75"/>
      <c r="G2086" s="72"/>
      <c r="H2086" s="49" t="s">
        <v>229</v>
      </c>
      <c r="I2086" s="49" t="s">
        <v>159</v>
      </c>
      <c r="J2086" s="76">
        <v>-1055.8800000000001</v>
      </c>
      <c r="K2086" s="83" t="str">
        <f>IFERROR(IFERROR(VLOOKUP(I2086,'DE-PARA'!B:D,3,0),VLOOKUP(I2086,'DE-PARA'!C:D,2,0)),"NÃO ENCONTRADO")</f>
        <v>Materiais</v>
      </c>
      <c r="L2086" s="50" t="str">
        <f>VLOOKUP(K2086,'Base -Receita-Despesa'!$B:$P,1,FALSE)</f>
        <v>Materiais</v>
      </c>
    </row>
    <row r="2087" spans="1:12" ht="15" customHeight="1" x14ac:dyDescent="0.3">
      <c r="A2087" s="82" t="str">
        <f t="shared" si="64"/>
        <v>2016</v>
      </c>
      <c r="B2087" s="72" t="s">
        <v>131</v>
      </c>
      <c r="C2087" s="73" t="s">
        <v>132</v>
      </c>
      <c r="D2087" s="74" t="str">
        <f t="shared" si="65"/>
        <v>ago/2016</v>
      </c>
      <c r="E2087" s="53">
        <v>42597</v>
      </c>
      <c r="F2087" s="75"/>
      <c r="G2087" s="72"/>
      <c r="H2087" s="49" t="s">
        <v>217</v>
      </c>
      <c r="I2087" s="49" t="s">
        <v>196</v>
      </c>
      <c r="J2087" s="76">
        <v>-929.2</v>
      </c>
      <c r="K2087" s="83" t="str">
        <f>IFERROR(IFERROR(VLOOKUP(I2087,'DE-PARA'!B:D,3,0),VLOOKUP(I2087,'DE-PARA'!C:D,2,0)),"NÃO ENCONTRADO")</f>
        <v>Materiais</v>
      </c>
      <c r="L2087" s="50" t="str">
        <f>VLOOKUP(K2087,'Base -Receita-Despesa'!$B:$P,1,FALSE)</f>
        <v>Materiais</v>
      </c>
    </row>
    <row r="2088" spans="1:12" ht="15" customHeight="1" x14ac:dyDescent="0.3">
      <c r="A2088" s="82" t="str">
        <f t="shared" si="64"/>
        <v>2016</v>
      </c>
      <c r="B2088" s="72" t="s">
        <v>131</v>
      </c>
      <c r="C2088" s="73" t="s">
        <v>132</v>
      </c>
      <c r="D2088" s="74" t="str">
        <f t="shared" si="65"/>
        <v>ago/2016</v>
      </c>
      <c r="E2088" s="53">
        <v>42597</v>
      </c>
      <c r="F2088" s="75"/>
      <c r="G2088" s="72"/>
      <c r="H2088" s="49" t="s">
        <v>1046</v>
      </c>
      <c r="I2088" s="49" t="s">
        <v>121</v>
      </c>
      <c r="J2088" s="76">
        <v>72133.59</v>
      </c>
      <c r="K2088" s="83" t="s">
        <v>93</v>
      </c>
      <c r="L2088" s="50" t="str">
        <f>VLOOKUP(K2088,'Base -Receita-Despesa'!$B:$P,1,FALSE)</f>
        <v>Transferências da c/c para c/a ou c/p (-)</v>
      </c>
    </row>
    <row r="2089" spans="1:12" ht="15" customHeight="1" x14ac:dyDescent="0.3">
      <c r="A2089" s="82" t="str">
        <f t="shared" si="64"/>
        <v>2016</v>
      </c>
      <c r="B2089" s="72" t="s">
        <v>131</v>
      </c>
      <c r="C2089" s="73" t="s">
        <v>132</v>
      </c>
      <c r="D2089" s="74" t="str">
        <f t="shared" si="65"/>
        <v>ago/2016</v>
      </c>
      <c r="E2089" s="53">
        <v>42597</v>
      </c>
      <c r="F2089" s="75"/>
      <c r="G2089" s="72"/>
      <c r="H2089" s="49" t="s">
        <v>1428</v>
      </c>
      <c r="I2089" s="49" t="s">
        <v>168</v>
      </c>
      <c r="J2089" s="76">
        <v>-32.64</v>
      </c>
      <c r="K2089" s="83" t="str">
        <f>IFERROR(IFERROR(VLOOKUP(I2089,'DE-PARA'!B:D,3,0),VLOOKUP(I2089,'DE-PARA'!C:D,2,0)),"NÃO ENCONTRADO")</f>
        <v>Pessoal</v>
      </c>
      <c r="L2089" s="50" t="str">
        <f>VLOOKUP(K2089,'Base -Receita-Despesa'!$B:$P,1,FALSE)</f>
        <v>Pessoal</v>
      </c>
    </row>
    <row r="2090" spans="1:12" ht="15" customHeight="1" x14ac:dyDescent="0.3">
      <c r="A2090" s="82" t="str">
        <f t="shared" si="64"/>
        <v>2016</v>
      </c>
      <c r="B2090" s="72" t="s">
        <v>131</v>
      </c>
      <c r="C2090" s="73" t="s">
        <v>132</v>
      </c>
      <c r="D2090" s="74" t="str">
        <f t="shared" si="65"/>
        <v>ago/2016</v>
      </c>
      <c r="E2090" s="53">
        <v>42597</v>
      </c>
      <c r="F2090" s="75"/>
      <c r="G2090" s="72"/>
      <c r="H2090" s="49" t="s">
        <v>218</v>
      </c>
      <c r="I2090" s="49" t="s">
        <v>110</v>
      </c>
      <c r="J2090" s="76">
        <v>-4392</v>
      </c>
      <c r="K2090" s="83" t="str">
        <f>IFERROR(IFERROR(VLOOKUP(I2090,'DE-PARA'!B:D,3,0),VLOOKUP(I2090,'DE-PARA'!C:D,2,0)),"NÃO ENCONTRADO")</f>
        <v>Serviços</v>
      </c>
      <c r="L2090" s="50" t="str">
        <f>VLOOKUP(K2090,'Base -Receita-Despesa'!$B:$P,1,FALSE)</f>
        <v>Serviços</v>
      </c>
    </row>
    <row r="2091" spans="1:12" ht="15" customHeight="1" x14ac:dyDescent="0.3">
      <c r="A2091" s="82" t="str">
        <f t="shared" si="64"/>
        <v>2016</v>
      </c>
      <c r="B2091" s="72" t="s">
        <v>131</v>
      </c>
      <c r="C2091" s="73" t="s">
        <v>132</v>
      </c>
      <c r="D2091" s="74" t="str">
        <f t="shared" si="65"/>
        <v>ago/2016</v>
      </c>
      <c r="E2091" s="53">
        <v>42597</v>
      </c>
      <c r="F2091" s="75"/>
      <c r="G2091" s="72"/>
      <c r="H2091" s="49" t="s">
        <v>1429</v>
      </c>
      <c r="I2091" s="49" t="s">
        <v>168</v>
      </c>
      <c r="J2091" s="76">
        <v>-37.619999999999997</v>
      </c>
      <c r="K2091" s="83" t="str">
        <f>IFERROR(IFERROR(VLOOKUP(I2091,'DE-PARA'!B:D,3,0),VLOOKUP(I2091,'DE-PARA'!C:D,2,0)),"NÃO ENCONTRADO")</f>
        <v>Pessoal</v>
      </c>
      <c r="L2091" s="50" t="str">
        <f>VLOOKUP(K2091,'Base -Receita-Despesa'!$B:$P,1,FALSE)</f>
        <v>Pessoal</v>
      </c>
    </row>
    <row r="2092" spans="1:12" ht="15" customHeight="1" x14ac:dyDescent="0.3">
      <c r="A2092" s="82" t="str">
        <f t="shared" si="64"/>
        <v>2016</v>
      </c>
      <c r="B2092" s="72" t="s">
        <v>131</v>
      </c>
      <c r="C2092" s="73" t="s">
        <v>132</v>
      </c>
      <c r="D2092" s="74" t="str">
        <f t="shared" si="65"/>
        <v>ago/2016</v>
      </c>
      <c r="E2092" s="53">
        <v>42598</v>
      </c>
      <c r="F2092" s="75"/>
      <c r="G2092" s="72"/>
      <c r="H2092" s="49" t="s">
        <v>328</v>
      </c>
      <c r="I2092" s="49" t="s">
        <v>159</v>
      </c>
      <c r="J2092" s="76">
        <v>-1957.84</v>
      </c>
      <c r="K2092" s="83" t="str">
        <f>IFERROR(IFERROR(VLOOKUP(I2092,'DE-PARA'!B:D,3,0),VLOOKUP(I2092,'DE-PARA'!C:D,2,0)),"NÃO ENCONTRADO")</f>
        <v>Materiais</v>
      </c>
      <c r="L2092" s="50" t="str">
        <f>VLOOKUP(K2092,'Base -Receita-Despesa'!$B:$P,1,FALSE)</f>
        <v>Materiais</v>
      </c>
    </row>
    <row r="2093" spans="1:12" ht="15" customHeight="1" x14ac:dyDescent="0.3">
      <c r="A2093" s="82" t="str">
        <f t="shared" si="64"/>
        <v>2016</v>
      </c>
      <c r="B2093" s="72" t="s">
        <v>131</v>
      </c>
      <c r="C2093" s="73" t="s">
        <v>132</v>
      </c>
      <c r="D2093" s="74" t="str">
        <f t="shared" si="65"/>
        <v>ago/2016</v>
      </c>
      <c r="E2093" s="53">
        <v>42598</v>
      </c>
      <c r="F2093" s="75"/>
      <c r="G2093" s="72"/>
      <c r="H2093" s="49" t="s">
        <v>201</v>
      </c>
      <c r="I2093" s="49" t="s">
        <v>110</v>
      </c>
      <c r="J2093" s="76">
        <v>-5672</v>
      </c>
      <c r="K2093" s="83" t="str">
        <f>IFERROR(IFERROR(VLOOKUP(I2093,'DE-PARA'!B:D,3,0),VLOOKUP(I2093,'DE-PARA'!C:D,2,0)),"NÃO ENCONTRADO")</f>
        <v>Serviços</v>
      </c>
      <c r="L2093" s="50" t="str">
        <f>VLOOKUP(K2093,'Base -Receita-Despesa'!$B:$P,1,FALSE)</f>
        <v>Serviços</v>
      </c>
    </row>
    <row r="2094" spans="1:12" ht="15" customHeight="1" x14ac:dyDescent="0.3">
      <c r="A2094" s="82" t="str">
        <f t="shared" si="64"/>
        <v>2016</v>
      </c>
      <c r="B2094" s="72" t="s">
        <v>131</v>
      </c>
      <c r="C2094" s="73" t="s">
        <v>132</v>
      </c>
      <c r="D2094" s="74" t="str">
        <f t="shared" si="65"/>
        <v>ago/2016</v>
      </c>
      <c r="E2094" s="53">
        <v>42598</v>
      </c>
      <c r="F2094" s="75"/>
      <c r="G2094" s="72"/>
      <c r="H2094" s="49" t="s">
        <v>1167</v>
      </c>
      <c r="I2094" s="49" t="s">
        <v>113</v>
      </c>
      <c r="J2094" s="76">
        <v>-88348.68</v>
      </c>
      <c r="K2094" s="83" t="str">
        <f>IFERROR(IFERROR(VLOOKUP(I2094,'DE-PARA'!B:D,3,0),VLOOKUP(I2094,'DE-PARA'!C:D,2,0)),"NÃO ENCONTRADO")</f>
        <v>Serviços</v>
      </c>
      <c r="L2094" s="50" t="str">
        <f>VLOOKUP(K2094,'Base -Receita-Despesa'!$B:$P,1,FALSE)</f>
        <v>Serviços</v>
      </c>
    </row>
    <row r="2095" spans="1:12" ht="15" customHeight="1" x14ac:dyDescent="0.3">
      <c r="A2095" s="82" t="str">
        <f t="shared" si="64"/>
        <v>2016</v>
      </c>
      <c r="B2095" s="72" t="s">
        <v>131</v>
      </c>
      <c r="C2095" s="73" t="s">
        <v>132</v>
      </c>
      <c r="D2095" s="74" t="str">
        <f t="shared" si="65"/>
        <v>ago/2016</v>
      </c>
      <c r="E2095" s="53">
        <v>42598</v>
      </c>
      <c r="F2095" s="75"/>
      <c r="G2095" s="72"/>
      <c r="H2095" s="49" t="s">
        <v>166</v>
      </c>
      <c r="I2095" s="49" t="s">
        <v>167</v>
      </c>
      <c r="J2095" s="76">
        <v>-893.26</v>
      </c>
      <c r="K2095" s="83" t="str">
        <f>IFERROR(IFERROR(VLOOKUP(I2095,'DE-PARA'!B:D,3,0),VLOOKUP(I2095,'DE-PARA'!C:D,2,0)),"NÃO ENCONTRADO")</f>
        <v>Materiais</v>
      </c>
      <c r="L2095" s="50" t="str">
        <f>VLOOKUP(K2095,'Base -Receita-Despesa'!$B:$P,1,FALSE)</f>
        <v>Materiais</v>
      </c>
    </row>
    <row r="2096" spans="1:12" ht="15" customHeight="1" x14ac:dyDescent="0.3">
      <c r="A2096" s="82" t="str">
        <f t="shared" si="64"/>
        <v>2016</v>
      </c>
      <c r="B2096" s="72" t="s">
        <v>131</v>
      </c>
      <c r="C2096" s="73" t="s">
        <v>132</v>
      </c>
      <c r="D2096" s="74" t="str">
        <f t="shared" si="65"/>
        <v>ago/2016</v>
      </c>
      <c r="E2096" s="53">
        <v>42598</v>
      </c>
      <c r="F2096" s="75"/>
      <c r="G2096" s="72"/>
      <c r="H2096" s="49" t="s">
        <v>1055</v>
      </c>
      <c r="I2096" s="49" t="s">
        <v>1056</v>
      </c>
      <c r="J2096" s="76">
        <v>127884.29</v>
      </c>
      <c r="K2096" s="83" t="str">
        <f>IFERROR(IFERROR(VLOOKUP(I2096,'DE-PARA'!B:D,3,0),VLOOKUP(I2096,'DE-PARA'!C:D,2,0)),"NÃO ENCONTRADO")</f>
        <v>ENTRADA CONTA APLICAÇÃO (+)</v>
      </c>
      <c r="L2096" s="50" t="str">
        <f>VLOOKUP(K2096,'Base -Receita-Despesa'!$B:$P,1,FALSE)</f>
        <v>ENTRADA CONTA APLICAÇÃO (+)</v>
      </c>
    </row>
    <row r="2097" spans="1:12" ht="15" customHeight="1" x14ac:dyDescent="0.3">
      <c r="A2097" s="82" t="str">
        <f t="shared" si="64"/>
        <v>2016</v>
      </c>
      <c r="B2097" s="72" t="s">
        <v>131</v>
      </c>
      <c r="C2097" s="73" t="s">
        <v>132</v>
      </c>
      <c r="D2097" s="74" t="str">
        <f t="shared" si="65"/>
        <v>ago/2016</v>
      </c>
      <c r="E2097" s="53">
        <v>42598</v>
      </c>
      <c r="F2097" s="75"/>
      <c r="G2097" s="72"/>
      <c r="H2097" s="49" t="s">
        <v>1406</v>
      </c>
      <c r="I2097" s="49" t="s">
        <v>129</v>
      </c>
      <c r="J2097" s="76">
        <v>-7.38</v>
      </c>
      <c r="K2097" s="83" t="str">
        <f>IFERROR(IFERROR(VLOOKUP(I2097,'DE-PARA'!B:D,3,0),VLOOKUP(I2097,'DE-PARA'!C:D,2,0)),"NÃO ENCONTRADO")</f>
        <v>Outras Saídas</v>
      </c>
      <c r="L2097" s="50" t="str">
        <f>VLOOKUP(K2097,'Base -Receita-Despesa'!$B:$P,1,FALSE)</f>
        <v>Outras Saídas</v>
      </c>
    </row>
    <row r="2098" spans="1:12" ht="15" customHeight="1" x14ac:dyDescent="0.3">
      <c r="A2098" s="82" t="str">
        <f t="shared" si="64"/>
        <v>2016</v>
      </c>
      <c r="B2098" s="72" t="s">
        <v>131</v>
      </c>
      <c r="C2098" s="73" t="s">
        <v>132</v>
      </c>
      <c r="D2098" s="74" t="str">
        <f t="shared" si="65"/>
        <v>ago/2016</v>
      </c>
      <c r="E2098" s="53">
        <v>42598</v>
      </c>
      <c r="F2098" s="75"/>
      <c r="G2098" s="72"/>
      <c r="H2098" s="49" t="s">
        <v>172</v>
      </c>
      <c r="I2098" s="49" t="s">
        <v>173</v>
      </c>
      <c r="J2098" s="76">
        <v>-12958.91</v>
      </c>
      <c r="K2098" s="83" t="str">
        <f>IFERROR(IFERROR(VLOOKUP(I2098,'DE-PARA'!B:D,3,0),VLOOKUP(I2098,'DE-PARA'!C:D,2,0)),"NÃO ENCONTRADO")</f>
        <v>Serviços</v>
      </c>
      <c r="L2098" s="50" t="str">
        <f>VLOOKUP(K2098,'Base -Receita-Despesa'!$B:$P,1,FALSE)</f>
        <v>Serviços</v>
      </c>
    </row>
    <row r="2099" spans="1:12" ht="15" customHeight="1" x14ac:dyDescent="0.3">
      <c r="A2099" s="82" t="str">
        <f t="shared" si="64"/>
        <v>2016</v>
      </c>
      <c r="B2099" s="72" t="s">
        <v>131</v>
      </c>
      <c r="C2099" s="73" t="s">
        <v>132</v>
      </c>
      <c r="D2099" s="74" t="str">
        <f t="shared" si="65"/>
        <v>ago/2016</v>
      </c>
      <c r="E2099" s="53">
        <v>42598</v>
      </c>
      <c r="F2099" s="75"/>
      <c r="G2099" s="72"/>
      <c r="H2099" s="49" t="s">
        <v>172</v>
      </c>
      <c r="I2099" s="49" t="s">
        <v>173</v>
      </c>
      <c r="J2099" s="76">
        <v>-18046.22</v>
      </c>
      <c r="K2099" s="83" t="str">
        <f>IFERROR(IFERROR(VLOOKUP(I2099,'DE-PARA'!B:D,3,0),VLOOKUP(I2099,'DE-PARA'!C:D,2,0)),"NÃO ENCONTRADO")</f>
        <v>Serviços</v>
      </c>
      <c r="L2099" s="50" t="str">
        <f>VLOOKUP(K2099,'Base -Receita-Despesa'!$B:$P,1,FALSE)</f>
        <v>Serviços</v>
      </c>
    </row>
    <row r="2100" spans="1:12" ht="15" customHeight="1" x14ac:dyDescent="0.3">
      <c r="A2100" s="82" t="str">
        <f t="shared" si="64"/>
        <v>2016</v>
      </c>
      <c r="B2100" s="72" t="s">
        <v>249</v>
      </c>
      <c r="C2100" s="73" t="s">
        <v>132</v>
      </c>
      <c r="D2100" s="74" t="str">
        <f t="shared" si="65"/>
        <v>ago/2016</v>
      </c>
      <c r="E2100" s="53">
        <v>42599</v>
      </c>
      <c r="F2100" s="75" t="s">
        <v>154</v>
      </c>
      <c r="G2100" s="72"/>
      <c r="H2100" s="49" t="s">
        <v>154</v>
      </c>
      <c r="I2100" s="49" t="s">
        <v>1497</v>
      </c>
      <c r="J2100" s="76">
        <v>6924.09</v>
      </c>
      <c r="K2100" s="83" t="str">
        <f>IFERROR(IFERROR(VLOOKUP(I2100,'DE-PARA'!B:D,3,0),VLOOKUP(I2100,'DE-PARA'!C:D,2,0)),"NÃO ENCONTRADO")</f>
        <v>Repasses Contrato de Gestão</v>
      </c>
      <c r="L2100" s="50" t="str">
        <f>VLOOKUP(K2100,'Base -Receita-Despesa'!$B:$P,1,FALSE)</f>
        <v>Repasses Contrato de Gestão</v>
      </c>
    </row>
    <row r="2101" spans="1:12" ht="15" customHeight="1" x14ac:dyDescent="0.3">
      <c r="A2101" s="82" t="str">
        <f t="shared" si="64"/>
        <v>2016</v>
      </c>
      <c r="B2101" s="72" t="s">
        <v>131</v>
      </c>
      <c r="C2101" s="73" t="s">
        <v>132</v>
      </c>
      <c r="D2101" s="74" t="str">
        <f t="shared" si="65"/>
        <v>ago/2016</v>
      </c>
      <c r="E2101" s="53">
        <v>42599</v>
      </c>
      <c r="F2101" s="75"/>
      <c r="G2101" s="72"/>
      <c r="H2101" s="49" t="s">
        <v>517</v>
      </c>
      <c r="I2101" s="49" t="s">
        <v>159</v>
      </c>
      <c r="J2101" s="76">
        <v>-517.5</v>
      </c>
      <c r="K2101" s="83" t="str">
        <f>IFERROR(IFERROR(VLOOKUP(I2101,'DE-PARA'!B:D,3,0),VLOOKUP(I2101,'DE-PARA'!C:D,2,0)),"NÃO ENCONTRADO")</f>
        <v>Materiais</v>
      </c>
      <c r="L2101" s="50" t="str">
        <f>VLOOKUP(K2101,'Base -Receita-Despesa'!$B:$P,1,FALSE)</f>
        <v>Materiais</v>
      </c>
    </row>
    <row r="2102" spans="1:12" ht="15" customHeight="1" x14ac:dyDescent="0.3">
      <c r="A2102" s="82" t="str">
        <f t="shared" si="64"/>
        <v>2016</v>
      </c>
      <c r="B2102" s="72" t="s">
        <v>131</v>
      </c>
      <c r="C2102" s="73" t="s">
        <v>132</v>
      </c>
      <c r="D2102" s="74" t="str">
        <f t="shared" si="65"/>
        <v>ago/2016</v>
      </c>
      <c r="E2102" s="53">
        <v>42599</v>
      </c>
      <c r="F2102" s="75"/>
      <c r="G2102" s="72"/>
      <c r="H2102" s="49" t="s">
        <v>904</v>
      </c>
      <c r="I2102" s="49" t="s">
        <v>905</v>
      </c>
      <c r="J2102" s="76">
        <v>-486</v>
      </c>
      <c r="K2102" s="83" t="str">
        <f>IFERROR(IFERROR(VLOOKUP(I2102,'DE-PARA'!B:D,3,0),VLOOKUP(I2102,'DE-PARA'!C:D,2,0)),"NÃO ENCONTRADO")</f>
        <v>Materiais</v>
      </c>
      <c r="L2102" s="50" t="str">
        <f>VLOOKUP(K2102,'Base -Receita-Despesa'!$B:$P,1,FALSE)</f>
        <v>Materiais</v>
      </c>
    </row>
    <row r="2103" spans="1:12" ht="15" customHeight="1" x14ac:dyDescent="0.3">
      <c r="A2103" s="82" t="str">
        <f t="shared" si="64"/>
        <v>2016</v>
      </c>
      <c r="B2103" s="72" t="s">
        <v>131</v>
      </c>
      <c r="C2103" s="73" t="s">
        <v>132</v>
      </c>
      <c r="D2103" s="74" t="str">
        <f t="shared" si="65"/>
        <v>ago/2016</v>
      </c>
      <c r="E2103" s="53">
        <v>42599</v>
      </c>
      <c r="F2103" s="75"/>
      <c r="G2103" s="72"/>
      <c r="H2103" s="49" t="s">
        <v>655</v>
      </c>
      <c r="I2103" s="49" t="s">
        <v>167</v>
      </c>
      <c r="J2103" s="76">
        <v>-490</v>
      </c>
      <c r="K2103" s="83" t="str">
        <f>IFERROR(IFERROR(VLOOKUP(I2103,'DE-PARA'!B:D,3,0),VLOOKUP(I2103,'DE-PARA'!C:D,2,0)),"NÃO ENCONTRADO")</f>
        <v>Materiais</v>
      </c>
      <c r="L2103" s="50" t="str">
        <f>VLOOKUP(K2103,'Base -Receita-Despesa'!$B:$P,1,FALSE)</f>
        <v>Materiais</v>
      </c>
    </row>
    <row r="2104" spans="1:12" ht="15" customHeight="1" x14ac:dyDescent="0.3">
      <c r="A2104" s="82" t="str">
        <f t="shared" si="64"/>
        <v>2016</v>
      </c>
      <c r="B2104" s="72" t="s">
        <v>131</v>
      </c>
      <c r="C2104" s="73" t="s">
        <v>132</v>
      </c>
      <c r="D2104" s="74" t="str">
        <f t="shared" si="65"/>
        <v>ago/2016</v>
      </c>
      <c r="E2104" s="53">
        <v>42599</v>
      </c>
      <c r="F2104" s="75"/>
      <c r="G2104" s="72"/>
      <c r="H2104" s="49" t="s">
        <v>1055</v>
      </c>
      <c r="I2104" s="49" t="s">
        <v>1056</v>
      </c>
      <c r="J2104" s="76">
        <v>1493.5</v>
      </c>
      <c r="K2104" s="83" t="str">
        <f>IFERROR(IFERROR(VLOOKUP(I2104,'DE-PARA'!B:D,3,0),VLOOKUP(I2104,'DE-PARA'!C:D,2,0)),"NÃO ENCONTRADO")</f>
        <v>ENTRADA CONTA APLICAÇÃO (+)</v>
      </c>
      <c r="L2104" s="50" t="str">
        <f>VLOOKUP(K2104,'Base -Receita-Despesa'!$B:$P,1,FALSE)</f>
        <v>ENTRADA CONTA APLICAÇÃO (+)</v>
      </c>
    </row>
    <row r="2105" spans="1:12" ht="15" customHeight="1" x14ac:dyDescent="0.3">
      <c r="A2105" s="82" t="str">
        <f t="shared" si="64"/>
        <v>2016</v>
      </c>
      <c r="B2105" s="72" t="s">
        <v>249</v>
      </c>
      <c r="C2105" s="73" t="s">
        <v>132</v>
      </c>
      <c r="D2105" s="74" t="str">
        <f t="shared" si="65"/>
        <v>ago/2016</v>
      </c>
      <c r="E2105" s="53">
        <v>42600</v>
      </c>
      <c r="F2105" s="75" t="s">
        <v>1045</v>
      </c>
      <c r="G2105" s="72"/>
      <c r="H2105" s="49" t="s">
        <v>1243</v>
      </c>
      <c r="I2105" s="49" t="s">
        <v>121</v>
      </c>
      <c r="J2105" s="76">
        <v>-6924.09</v>
      </c>
      <c r="K2105" s="83" t="s">
        <v>93</v>
      </c>
      <c r="L2105" s="50" t="str">
        <f>VLOOKUP(K2105,'Base -Receita-Despesa'!$B:$P,1,FALSE)</f>
        <v>Transferências da c/c para c/a ou c/p (-)</v>
      </c>
    </row>
    <row r="2106" spans="1:12" ht="15" customHeight="1" x14ac:dyDescent="0.3">
      <c r="A2106" s="82" t="str">
        <f t="shared" si="64"/>
        <v>2016</v>
      </c>
      <c r="B2106" s="72" t="s">
        <v>131</v>
      </c>
      <c r="C2106" s="73" t="s">
        <v>132</v>
      </c>
      <c r="D2106" s="74" t="str">
        <f t="shared" si="65"/>
        <v>ago/2016</v>
      </c>
      <c r="E2106" s="53">
        <v>42600</v>
      </c>
      <c r="F2106" s="75"/>
      <c r="G2106" s="72"/>
      <c r="H2106" s="49" t="s">
        <v>328</v>
      </c>
      <c r="I2106" s="49" t="s">
        <v>159</v>
      </c>
      <c r="J2106" s="76">
        <v>-1450.8</v>
      </c>
      <c r="K2106" s="83" t="str">
        <f>IFERROR(IFERROR(VLOOKUP(I2106,'DE-PARA'!B:D,3,0),VLOOKUP(I2106,'DE-PARA'!C:D,2,0)),"NÃO ENCONTRADO")</f>
        <v>Materiais</v>
      </c>
      <c r="L2106" s="50" t="str">
        <f>VLOOKUP(K2106,'Base -Receita-Despesa'!$B:$P,1,FALSE)</f>
        <v>Materiais</v>
      </c>
    </row>
    <row r="2107" spans="1:12" ht="15" customHeight="1" x14ac:dyDescent="0.3">
      <c r="A2107" s="82" t="str">
        <f t="shared" si="64"/>
        <v>2016</v>
      </c>
      <c r="B2107" s="72" t="s">
        <v>131</v>
      </c>
      <c r="C2107" s="73" t="s">
        <v>132</v>
      </c>
      <c r="D2107" s="74" t="str">
        <f t="shared" si="65"/>
        <v>ago/2016</v>
      </c>
      <c r="E2107" s="53">
        <v>42600</v>
      </c>
      <c r="F2107" s="75"/>
      <c r="G2107" s="72"/>
      <c r="H2107" s="49" t="s">
        <v>149</v>
      </c>
      <c r="I2107" s="49" t="s">
        <v>129</v>
      </c>
      <c r="J2107" s="76">
        <v>-7.85</v>
      </c>
      <c r="K2107" s="83" t="str">
        <f>IFERROR(IFERROR(VLOOKUP(I2107,'DE-PARA'!B:D,3,0),VLOOKUP(I2107,'DE-PARA'!C:D,2,0)),"NÃO ENCONTRADO")</f>
        <v>Outras Saídas</v>
      </c>
      <c r="L2107" s="50" t="str">
        <f>VLOOKUP(K2107,'Base -Receita-Despesa'!$B:$P,1,FALSE)</f>
        <v>Outras Saídas</v>
      </c>
    </row>
    <row r="2108" spans="1:12" ht="15" customHeight="1" x14ac:dyDescent="0.3">
      <c r="A2108" s="82" t="str">
        <f t="shared" si="64"/>
        <v>2016</v>
      </c>
      <c r="B2108" s="72" t="s">
        <v>131</v>
      </c>
      <c r="C2108" s="73" t="s">
        <v>132</v>
      </c>
      <c r="D2108" s="74" t="str">
        <f t="shared" si="65"/>
        <v>ago/2016</v>
      </c>
      <c r="E2108" s="53">
        <v>42600</v>
      </c>
      <c r="F2108" s="75"/>
      <c r="G2108" s="72"/>
      <c r="H2108" s="49" t="s">
        <v>427</v>
      </c>
      <c r="I2108" s="49" t="s">
        <v>428</v>
      </c>
      <c r="J2108" s="76">
        <v>-880</v>
      </c>
      <c r="K2108" s="83" t="str">
        <f>IFERROR(IFERROR(VLOOKUP(I2108,'DE-PARA'!B:D,3,0),VLOOKUP(I2108,'DE-PARA'!C:D,2,0)),"NÃO ENCONTRADO")</f>
        <v>Aluguéis</v>
      </c>
      <c r="L2108" s="50" t="str">
        <f>VLOOKUP(K2108,'Base -Receita-Despesa'!$B:$P,1,FALSE)</f>
        <v>Aluguéis</v>
      </c>
    </row>
    <row r="2109" spans="1:12" ht="15" customHeight="1" x14ac:dyDescent="0.3">
      <c r="A2109" s="82" t="str">
        <f t="shared" si="64"/>
        <v>2016</v>
      </c>
      <c r="B2109" s="72" t="s">
        <v>131</v>
      </c>
      <c r="C2109" s="73" t="s">
        <v>132</v>
      </c>
      <c r="D2109" s="74" t="str">
        <f t="shared" si="65"/>
        <v>ago/2016</v>
      </c>
      <c r="E2109" s="53">
        <v>42600</v>
      </c>
      <c r="F2109" s="75"/>
      <c r="G2109" s="72"/>
      <c r="H2109" s="49" t="s">
        <v>1448</v>
      </c>
      <c r="I2109" s="49" t="s">
        <v>317</v>
      </c>
      <c r="J2109" s="76">
        <v>-3082.69</v>
      </c>
      <c r="K2109" s="83" t="str">
        <f>IFERROR(IFERROR(VLOOKUP(I2109,'DE-PARA'!B:D,3,0),VLOOKUP(I2109,'DE-PARA'!C:D,2,0)),"NÃO ENCONTRADO")</f>
        <v>Investimentos</v>
      </c>
      <c r="L2109" s="50" t="str">
        <f>VLOOKUP(K2109,'Base -Receita-Despesa'!$B:$P,1,FALSE)</f>
        <v>Investimentos</v>
      </c>
    </row>
    <row r="2110" spans="1:12" ht="15" customHeight="1" x14ac:dyDescent="0.3">
      <c r="A2110" s="82" t="str">
        <f t="shared" si="64"/>
        <v>2016</v>
      </c>
      <c r="B2110" s="72" t="s">
        <v>131</v>
      </c>
      <c r="C2110" s="73" t="s">
        <v>132</v>
      </c>
      <c r="D2110" s="74" t="str">
        <f t="shared" si="65"/>
        <v>ago/2016</v>
      </c>
      <c r="E2110" s="53">
        <v>42600</v>
      </c>
      <c r="F2110" s="75"/>
      <c r="G2110" s="72"/>
      <c r="H2110" s="49" t="s">
        <v>212</v>
      </c>
      <c r="I2110" s="49" t="s">
        <v>138</v>
      </c>
      <c r="J2110" s="76">
        <v>-4707.62</v>
      </c>
      <c r="K2110" s="83" t="str">
        <f>IFERROR(IFERROR(VLOOKUP(I2110,'DE-PARA'!B:D,3,0),VLOOKUP(I2110,'DE-PARA'!C:D,2,0)),"NÃO ENCONTRADO")</f>
        <v>Serviços</v>
      </c>
      <c r="L2110" s="50" t="str">
        <f>VLOOKUP(K2110,'Base -Receita-Despesa'!$B:$P,1,FALSE)</f>
        <v>Serviços</v>
      </c>
    </row>
    <row r="2111" spans="1:12" ht="15" customHeight="1" x14ac:dyDescent="0.3">
      <c r="A2111" s="82" t="str">
        <f t="shared" si="64"/>
        <v>2016</v>
      </c>
      <c r="B2111" s="72" t="s">
        <v>131</v>
      </c>
      <c r="C2111" s="73" t="s">
        <v>132</v>
      </c>
      <c r="D2111" s="74" t="str">
        <f t="shared" si="65"/>
        <v>ago/2016</v>
      </c>
      <c r="E2111" s="53">
        <v>42600</v>
      </c>
      <c r="F2111" s="75"/>
      <c r="G2111" s="72"/>
      <c r="H2111" s="49" t="s">
        <v>1055</v>
      </c>
      <c r="I2111" s="49" t="s">
        <v>1056</v>
      </c>
      <c r="J2111" s="76">
        <v>3377.62</v>
      </c>
      <c r="K2111" s="83" t="str">
        <f>IFERROR(IFERROR(VLOOKUP(I2111,'DE-PARA'!B:D,3,0),VLOOKUP(I2111,'DE-PARA'!C:D,2,0)),"NÃO ENCONTRADO")</f>
        <v>ENTRADA CONTA APLICAÇÃO (+)</v>
      </c>
      <c r="L2111" s="50" t="str">
        <f>VLOOKUP(K2111,'Base -Receita-Despesa'!$B:$P,1,FALSE)</f>
        <v>ENTRADA CONTA APLICAÇÃO (+)</v>
      </c>
    </row>
    <row r="2112" spans="1:12" ht="15" customHeight="1" x14ac:dyDescent="0.3">
      <c r="A2112" s="82" t="str">
        <f t="shared" si="64"/>
        <v>2016</v>
      </c>
      <c r="B2112" s="72" t="s">
        <v>131</v>
      </c>
      <c r="C2112" s="73" t="s">
        <v>132</v>
      </c>
      <c r="D2112" s="74" t="str">
        <f t="shared" si="65"/>
        <v>ago/2016</v>
      </c>
      <c r="E2112" s="53">
        <v>42600</v>
      </c>
      <c r="F2112" s="75"/>
      <c r="G2112" s="72"/>
      <c r="H2112" s="49" t="s">
        <v>1046</v>
      </c>
      <c r="I2112" s="49" t="s">
        <v>121</v>
      </c>
      <c r="J2112" s="76">
        <v>6924.09</v>
      </c>
      <c r="K2112" s="83" t="s">
        <v>93</v>
      </c>
      <c r="L2112" s="50" t="str">
        <f>VLOOKUP(K2112,'Base -Receita-Despesa'!$B:$P,1,FALSE)</f>
        <v>Transferências da c/c para c/a ou c/p (-)</v>
      </c>
    </row>
    <row r="2113" spans="1:12" ht="15" customHeight="1" x14ac:dyDescent="0.3">
      <c r="A2113" s="82" t="str">
        <f t="shared" si="64"/>
        <v>2016</v>
      </c>
      <c r="B2113" s="72" t="s">
        <v>131</v>
      </c>
      <c r="C2113" s="73" t="s">
        <v>132</v>
      </c>
      <c r="D2113" s="74" t="str">
        <f t="shared" si="65"/>
        <v>ago/2016</v>
      </c>
      <c r="E2113" s="53">
        <v>42600</v>
      </c>
      <c r="F2113" s="75"/>
      <c r="G2113" s="72"/>
      <c r="H2113" s="49" t="s">
        <v>187</v>
      </c>
      <c r="I2113" s="49" t="s">
        <v>159</v>
      </c>
      <c r="J2113" s="76">
        <v>-172.75</v>
      </c>
      <c r="K2113" s="83" t="str">
        <f>IFERROR(IFERROR(VLOOKUP(I2113,'DE-PARA'!B:D,3,0),VLOOKUP(I2113,'DE-PARA'!C:D,2,0)),"NÃO ENCONTRADO")</f>
        <v>Materiais</v>
      </c>
      <c r="L2113" s="50" t="str">
        <f>VLOOKUP(K2113,'Base -Receita-Despesa'!$B:$P,1,FALSE)</f>
        <v>Materiais</v>
      </c>
    </row>
    <row r="2114" spans="1:12" ht="15" customHeight="1" x14ac:dyDescent="0.3">
      <c r="A2114" s="82" t="str">
        <f t="shared" si="64"/>
        <v>2016</v>
      </c>
      <c r="B2114" s="72" t="s">
        <v>249</v>
      </c>
      <c r="C2114" s="73" t="s">
        <v>132</v>
      </c>
      <c r="D2114" s="74" t="str">
        <f t="shared" si="65"/>
        <v>ago/2016</v>
      </c>
      <c r="E2114" s="53">
        <v>42601</v>
      </c>
      <c r="F2114" s="75" t="s">
        <v>154</v>
      </c>
      <c r="G2114" s="72"/>
      <c r="H2114" s="49" t="s">
        <v>154</v>
      </c>
      <c r="I2114" s="49" t="s">
        <v>1497</v>
      </c>
      <c r="J2114" s="76">
        <v>393456.65</v>
      </c>
      <c r="K2114" s="83" t="str">
        <f>IFERROR(IFERROR(VLOOKUP(I2114,'DE-PARA'!B:D,3,0),VLOOKUP(I2114,'DE-PARA'!C:D,2,0)),"NÃO ENCONTRADO")</f>
        <v>Repasses Contrato de Gestão</v>
      </c>
      <c r="L2114" s="50" t="str">
        <f>VLOOKUP(K2114,'Base -Receita-Despesa'!$B:$P,1,FALSE)</f>
        <v>Repasses Contrato de Gestão</v>
      </c>
    </row>
    <row r="2115" spans="1:12" ht="15" customHeight="1" x14ac:dyDescent="0.3">
      <c r="A2115" s="82" t="str">
        <f t="shared" si="64"/>
        <v>2016</v>
      </c>
      <c r="B2115" s="72" t="s">
        <v>249</v>
      </c>
      <c r="C2115" s="73" t="s">
        <v>132</v>
      </c>
      <c r="D2115" s="74" t="str">
        <f t="shared" si="65"/>
        <v>ago/2016</v>
      </c>
      <c r="E2115" s="53">
        <v>42601</v>
      </c>
      <c r="F2115" s="75" t="s">
        <v>1045</v>
      </c>
      <c r="G2115" s="72"/>
      <c r="H2115" s="49" t="s">
        <v>1243</v>
      </c>
      <c r="I2115" s="49" t="s">
        <v>121</v>
      </c>
      <c r="J2115" s="76">
        <v>-393456.65</v>
      </c>
      <c r="K2115" s="83" t="s">
        <v>93</v>
      </c>
      <c r="L2115" s="50" t="str">
        <f>VLOOKUP(K2115,'Base -Receita-Despesa'!$B:$P,1,FALSE)</f>
        <v>Transferências da c/c para c/a ou c/p (-)</v>
      </c>
    </row>
    <row r="2116" spans="1:12" ht="15" customHeight="1" x14ac:dyDescent="0.3">
      <c r="A2116" s="82" t="str">
        <f t="shared" ref="A2116:A2179" si="66">IF(K2116="NÃO ENCONTRADO",0,RIGHT(D2116,4))</f>
        <v>2016</v>
      </c>
      <c r="B2116" s="72" t="s">
        <v>131</v>
      </c>
      <c r="C2116" s="73" t="s">
        <v>132</v>
      </c>
      <c r="D2116" s="74" t="str">
        <f t="shared" ref="D2116:D2179" si="67">TEXT(E2116,"mmm/aaaa")</f>
        <v>ago/2016</v>
      </c>
      <c r="E2116" s="53">
        <v>42601</v>
      </c>
      <c r="F2116" s="75"/>
      <c r="G2116" s="72"/>
      <c r="H2116" s="49" t="s">
        <v>517</v>
      </c>
      <c r="I2116" s="49" t="s">
        <v>159</v>
      </c>
      <c r="J2116" s="76">
        <v>-696.25</v>
      </c>
      <c r="K2116" s="83" t="str">
        <f>IFERROR(IFERROR(VLOOKUP(I2116,'DE-PARA'!B:D,3,0),VLOOKUP(I2116,'DE-PARA'!C:D,2,0)),"NÃO ENCONTRADO")</f>
        <v>Materiais</v>
      </c>
      <c r="L2116" s="50" t="str">
        <f>VLOOKUP(K2116,'Base -Receita-Despesa'!$B:$P,1,FALSE)</f>
        <v>Materiais</v>
      </c>
    </row>
    <row r="2117" spans="1:12" ht="15" customHeight="1" x14ac:dyDescent="0.3">
      <c r="A2117" s="82" t="str">
        <f t="shared" si="66"/>
        <v>2016</v>
      </c>
      <c r="B2117" s="72" t="s">
        <v>131</v>
      </c>
      <c r="C2117" s="73" t="s">
        <v>132</v>
      </c>
      <c r="D2117" s="74" t="str">
        <f t="shared" si="67"/>
        <v>ago/2016</v>
      </c>
      <c r="E2117" s="53">
        <v>42601</v>
      </c>
      <c r="F2117" s="75"/>
      <c r="G2117" s="72"/>
      <c r="H2117" s="49" t="s">
        <v>1450</v>
      </c>
      <c r="I2117" s="49" t="s">
        <v>144</v>
      </c>
      <c r="J2117" s="76">
        <v>-16.27</v>
      </c>
      <c r="K2117" s="83" t="str">
        <f>IFERROR(IFERROR(VLOOKUP(I2117,'DE-PARA'!B:D,3,0),VLOOKUP(I2117,'DE-PARA'!C:D,2,0)),"NÃO ENCONTRADO")</f>
        <v>Concessionárias (água, luz e telefone)</v>
      </c>
      <c r="L2117" s="50" t="str">
        <f>VLOOKUP(K2117,'Base -Receita-Despesa'!$B:$P,1,FALSE)</f>
        <v>Concessionárias (água, luz e telefone)</v>
      </c>
    </row>
    <row r="2118" spans="1:12" ht="15" customHeight="1" x14ac:dyDescent="0.3">
      <c r="A2118" s="82" t="str">
        <f t="shared" si="66"/>
        <v>2016</v>
      </c>
      <c r="B2118" s="72" t="s">
        <v>131</v>
      </c>
      <c r="C2118" s="73" t="s">
        <v>132</v>
      </c>
      <c r="D2118" s="74" t="str">
        <f t="shared" si="67"/>
        <v>ago/2016</v>
      </c>
      <c r="E2118" s="53">
        <v>42601</v>
      </c>
      <c r="F2118" s="75"/>
      <c r="G2118" s="72"/>
      <c r="H2118" s="49" t="s">
        <v>1451</v>
      </c>
      <c r="I2118" s="49" t="s">
        <v>113</v>
      </c>
      <c r="J2118" s="76">
        <v>-5387.8</v>
      </c>
      <c r="K2118" s="83" t="str">
        <f>IFERROR(IFERROR(VLOOKUP(I2118,'DE-PARA'!B:D,3,0),VLOOKUP(I2118,'DE-PARA'!C:D,2,0)),"NÃO ENCONTRADO")</f>
        <v>Serviços</v>
      </c>
      <c r="L2118" s="50" t="str">
        <f>VLOOKUP(K2118,'Base -Receita-Despesa'!$B:$P,1,FALSE)</f>
        <v>Serviços</v>
      </c>
    </row>
    <row r="2119" spans="1:12" ht="15" customHeight="1" x14ac:dyDescent="0.3">
      <c r="A2119" s="82" t="str">
        <f t="shared" si="66"/>
        <v>2016</v>
      </c>
      <c r="B2119" s="72" t="s">
        <v>131</v>
      </c>
      <c r="C2119" s="73" t="s">
        <v>132</v>
      </c>
      <c r="D2119" s="74" t="str">
        <f t="shared" si="67"/>
        <v>ago/2016</v>
      </c>
      <c r="E2119" s="53">
        <v>42601</v>
      </c>
      <c r="F2119" s="75"/>
      <c r="G2119" s="72"/>
      <c r="H2119" s="49" t="s">
        <v>1452</v>
      </c>
      <c r="I2119" s="49" t="s">
        <v>113</v>
      </c>
      <c r="J2119" s="76">
        <v>-12247.45</v>
      </c>
      <c r="K2119" s="83" t="str">
        <f>IFERROR(IFERROR(VLOOKUP(I2119,'DE-PARA'!B:D,3,0),VLOOKUP(I2119,'DE-PARA'!C:D,2,0)),"NÃO ENCONTRADO")</f>
        <v>Serviços</v>
      </c>
      <c r="L2119" s="50" t="str">
        <f>VLOOKUP(K2119,'Base -Receita-Despesa'!$B:$P,1,FALSE)</f>
        <v>Serviços</v>
      </c>
    </row>
    <row r="2120" spans="1:12" ht="15" customHeight="1" x14ac:dyDescent="0.3">
      <c r="A2120" s="82" t="str">
        <f t="shared" si="66"/>
        <v>2016</v>
      </c>
      <c r="B2120" s="72" t="s">
        <v>131</v>
      </c>
      <c r="C2120" s="73" t="s">
        <v>132</v>
      </c>
      <c r="D2120" s="74" t="str">
        <f t="shared" si="67"/>
        <v>ago/2016</v>
      </c>
      <c r="E2120" s="53">
        <v>42601</v>
      </c>
      <c r="F2120" s="75"/>
      <c r="G2120" s="72"/>
      <c r="H2120" s="49" t="s">
        <v>1453</v>
      </c>
      <c r="I2120" s="49" t="s">
        <v>173</v>
      </c>
      <c r="J2120" s="76">
        <v>-2501.6799999999998</v>
      </c>
      <c r="K2120" s="83" t="str">
        <f>IFERROR(IFERROR(VLOOKUP(I2120,'DE-PARA'!B:D,3,0),VLOOKUP(I2120,'DE-PARA'!C:D,2,0)),"NÃO ENCONTRADO")</f>
        <v>Serviços</v>
      </c>
      <c r="L2120" s="50" t="str">
        <f>VLOOKUP(K2120,'Base -Receita-Despesa'!$B:$P,1,FALSE)</f>
        <v>Serviços</v>
      </c>
    </row>
    <row r="2121" spans="1:12" ht="15" customHeight="1" x14ac:dyDescent="0.3">
      <c r="A2121" s="82" t="str">
        <f t="shared" si="66"/>
        <v>2016</v>
      </c>
      <c r="B2121" s="72" t="s">
        <v>131</v>
      </c>
      <c r="C2121" s="73" t="s">
        <v>132</v>
      </c>
      <c r="D2121" s="74" t="str">
        <f t="shared" si="67"/>
        <v>ago/2016</v>
      </c>
      <c r="E2121" s="53">
        <v>42601</v>
      </c>
      <c r="F2121" s="75"/>
      <c r="G2121" s="72"/>
      <c r="H2121" s="49" t="s">
        <v>1454</v>
      </c>
      <c r="I2121" s="49" t="s">
        <v>171</v>
      </c>
      <c r="J2121" s="76">
        <v>-174.62</v>
      </c>
      <c r="K2121" s="83" t="str">
        <f>IFERROR(IFERROR(VLOOKUP(I2121,'DE-PARA'!B:D,3,0),VLOOKUP(I2121,'DE-PARA'!C:D,2,0)),"NÃO ENCONTRADO")</f>
        <v>Serviços</v>
      </c>
      <c r="L2121" s="50" t="str">
        <f>VLOOKUP(K2121,'Base -Receita-Despesa'!$B:$P,1,FALSE)</f>
        <v>Serviços</v>
      </c>
    </row>
    <row r="2122" spans="1:12" ht="15" customHeight="1" x14ac:dyDescent="0.3">
      <c r="A2122" s="82" t="str">
        <f t="shared" si="66"/>
        <v>2016</v>
      </c>
      <c r="B2122" s="72" t="s">
        <v>131</v>
      </c>
      <c r="C2122" s="73" t="s">
        <v>132</v>
      </c>
      <c r="D2122" s="74" t="str">
        <f t="shared" si="67"/>
        <v>ago/2016</v>
      </c>
      <c r="E2122" s="53">
        <v>42601</v>
      </c>
      <c r="F2122" s="75"/>
      <c r="G2122" s="72"/>
      <c r="H2122" s="49" t="s">
        <v>1455</v>
      </c>
      <c r="I2122" s="49" t="s">
        <v>171</v>
      </c>
      <c r="J2122" s="76">
        <v>-434.15</v>
      </c>
      <c r="K2122" s="83" t="str">
        <f>IFERROR(IFERROR(VLOOKUP(I2122,'DE-PARA'!B:D,3,0),VLOOKUP(I2122,'DE-PARA'!C:D,2,0)),"NÃO ENCONTRADO")</f>
        <v>Serviços</v>
      </c>
      <c r="L2122" s="50" t="str">
        <f>VLOOKUP(K2122,'Base -Receita-Despesa'!$B:$P,1,FALSE)</f>
        <v>Serviços</v>
      </c>
    </row>
    <row r="2123" spans="1:12" ht="15" customHeight="1" x14ac:dyDescent="0.3">
      <c r="A2123" s="82" t="str">
        <f t="shared" si="66"/>
        <v>2016</v>
      </c>
      <c r="B2123" s="72" t="s">
        <v>131</v>
      </c>
      <c r="C2123" s="73" t="s">
        <v>132</v>
      </c>
      <c r="D2123" s="74" t="str">
        <f t="shared" si="67"/>
        <v>ago/2016</v>
      </c>
      <c r="E2123" s="53">
        <v>42601</v>
      </c>
      <c r="F2123" s="75"/>
      <c r="G2123" s="72"/>
      <c r="H2123" s="49" t="s">
        <v>1456</v>
      </c>
      <c r="I2123" s="49" t="s">
        <v>186</v>
      </c>
      <c r="J2123" s="76">
        <v>-148318.37</v>
      </c>
      <c r="K2123" s="83" t="str">
        <f>IFERROR(IFERROR(VLOOKUP(I2123,'DE-PARA'!B:D,3,0),VLOOKUP(I2123,'DE-PARA'!C:D,2,0)),"NÃO ENCONTRADO")</f>
        <v>Encargos sobre Folha de Pagamento</v>
      </c>
      <c r="L2123" s="50" t="str">
        <f>VLOOKUP(K2123,'Base -Receita-Despesa'!$B:$P,1,FALSE)</f>
        <v>Encargos sobre Folha de Pagamento</v>
      </c>
    </row>
    <row r="2124" spans="1:12" ht="15" customHeight="1" x14ac:dyDescent="0.3">
      <c r="A2124" s="82" t="str">
        <f t="shared" si="66"/>
        <v>2016</v>
      </c>
      <c r="B2124" s="72" t="s">
        <v>131</v>
      </c>
      <c r="C2124" s="73" t="s">
        <v>132</v>
      </c>
      <c r="D2124" s="74" t="str">
        <f t="shared" si="67"/>
        <v>ago/2016</v>
      </c>
      <c r="E2124" s="53">
        <v>42601</v>
      </c>
      <c r="F2124" s="75"/>
      <c r="G2124" s="72"/>
      <c r="H2124" s="49" t="s">
        <v>1457</v>
      </c>
      <c r="I2124" s="49" t="s">
        <v>185</v>
      </c>
      <c r="J2124" s="76">
        <v>-1193.1400000000001</v>
      </c>
      <c r="K2124" s="83" t="str">
        <f>IFERROR(IFERROR(VLOOKUP(I2124,'DE-PARA'!B:D,3,0),VLOOKUP(I2124,'DE-PARA'!C:D,2,0)),"NÃO ENCONTRADO")</f>
        <v>Encargos sobre Folha de Pagamento</v>
      </c>
      <c r="L2124" s="50" t="str">
        <f>VLOOKUP(K2124,'Base -Receita-Despesa'!$B:$P,1,FALSE)</f>
        <v>Encargos sobre Folha de Pagamento</v>
      </c>
    </row>
    <row r="2125" spans="1:12" ht="15" customHeight="1" x14ac:dyDescent="0.3">
      <c r="A2125" s="82" t="str">
        <f t="shared" si="66"/>
        <v>2016</v>
      </c>
      <c r="B2125" s="72" t="s">
        <v>131</v>
      </c>
      <c r="C2125" s="73" t="s">
        <v>132</v>
      </c>
      <c r="D2125" s="74" t="str">
        <f t="shared" si="67"/>
        <v>ago/2016</v>
      </c>
      <c r="E2125" s="53">
        <v>42601</v>
      </c>
      <c r="F2125" s="75"/>
      <c r="G2125" s="72"/>
      <c r="H2125" s="49" t="s">
        <v>1458</v>
      </c>
      <c r="I2125" s="49" t="s">
        <v>114</v>
      </c>
      <c r="J2125" s="76">
        <v>-489.8</v>
      </c>
      <c r="K2125" s="83" t="str">
        <f>IFERROR(IFERROR(VLOOKUP(I2125,'DE-PARA'!B:D,3,0),VLOOKUP(I2125,'DE-PARA'!C:D,2,0)),"NÃO ENCONTRADO")</f>
        <v>Serviços</v>
      </c>
      <c r="L2125" s="50" t="str">
        <f>VLOOKUP(K2125,'Base -Receita-Despesa'!$B:$P,1,FALSE)</f>
        <v>Serviços</v>
      </c>
    </row>
    <row r="2126" spans="1:12" ht="15" customHeight="1" x14ac:dyDescent="0.3">
      <c r="A2126" s="82" t="str">
        <f t="shared" si="66"/>
        <v>2016</v>
      </c>
      <c r="B2126" s="72" t="s">
        <v>131</v>
      </c>
      <c r="C2126" s="73" t="s">
        <v>132</v>
      </c>
      <c r="D2126" s="74" t="str">
        <f t="shared" si="67"/>
        <v>ago/2016</v>
      </c>
      <c r="E2126" s="53">
        <v>42601</v>
      </c>
      <c r="F2126" s="75"/>
      <c r="G2126" s="72"/>
      <c r="H2126" s="49" t="s">
        <v>1459</v>
      </c>
      <c r="I2126" s="49" t="s">
        <v>138</v>
      </c>
      <c r="J2126" s="76">
        <v>-75.349999999999994</v>
      </c>
      <c r="K2126" s="83" t="str">
        <f>IFERROR(IFERROR(VLOOKUP(I2126,'DE-PARA'!B:D,3,0),VLOOKUP(I2126,'DE-PARA'!C:D,2,0)),"NÃO ENCONTRADO")</f>
        <v>Serviços</v>
      </c>
      <c r="L2126" s="50" t="str">
        <f>VLOOKUP(K2126,'Base -Receita-Despesa'!$B:$P,1,FALSE)</f>
        <v>Serviços</v>
      </c>
    </row>
    <row r="2127" spans="1:12" ht="15" customHeight="1" x14ac:dyDescent="0.3">
      <c r="A2127" s="82" t="str">
        <f t="shared" si="66"/>
        <v>2016</v>
      </c>
      <c r="B2127" s="72" t="s">
        <v>131</v>
      </c>
      <c r="C2127" s="73" t="s">
        <v>132</v>
      </c>
      <c r="D2127" s="74" t="str">
        <f t="shared" si="67"/>
        <v>ago/2016</v>
      </c>
      <c r="E2127" s="53">
        <v>42601</v>
      </c>
      <c r="F2127" s="75"/>
      <c r="G2127" s="72"/>
      <c r="H2127" s="49" t="s">
        <v>1460</v>
      </c>
      <c r="I2127" s="49" t="s">
        <v>113</v>
      </c>
      <c r="J2127" s="76">
        <v>-1113.4100000000001</v>
      </c>
      <c r="K2127" s="83" t="str">
        <f>IFERROR(IFERROR(VLOOKUP(I2127,'DE-PARA'!B:D,3,0),VLOOKUP(I2127,'DE-PARA'!C:D,2,0)),"NÃO ENCONTRADO")</f>
        <v>Serviços</v>
      </c>
      <c r="L2127" s="50" t="str">
        <f>VLOOKUP(K2127,'Base -Receita-Despesa'!$B:$P,1,FALSE)</f>
        <v>Serviços</v>
      </c>
    </row>
    <row r="2128" spans="1:12" ht="15" customHeight="1" x14ac:dyDescent="0.3">
      <c r="A2128" s="82" t="str">
        <f t="shared" si="66"/>
        <v>2016</v>
      </c>
      <c r="B2128" s="72" t="s">
        <v>131</v>
      </c>
      <c r="C2128" s="73" t="s">
        <v>132</v>
      </c>
      <c r="D2128" s="74" t="str">
        <f t="shared" si="67"/>
        <v>ago/2016</v>
      </c>
      <c r="E2128" s="53">
        <v>42601</v>
      </c>
      <c r="F2128" s="75"/>
      <c r="G2128" s="72"/>
      <c r="H2128" s="49" t="s">
        <v>1461</v>
      </c>
      <c r="I2128" s="49" t="s">
        <v>110</v>
      </c>
      <c r="J2128" s="76">
        <v>-36</v>
      </c>
      <c r="K2128" s="83" t="str">
        <f>IFERROR(IFERROR(VLOOKUP(I2128,'DE-PARA'!B:D,3,0),VLOOKUP(I2128,'DE-PARA'!C:D,2,0)),"NÃO ENCONTRADO")</f>
        <v>Serviços</v>
      </c>
      <c r="L2128" s="50" t="str">
        <f>VLOOKUP(K2128,'Base -Receita-Despesa'!$B:$P,1,FALSE)</f>
        <v>Serviços</v>
      </c>
    </row>
    <row r="2129" spans="1:12" ht="15" customHeight="1" x14ac:dyDescent="0.3">
      <c r="A2129" s="82" t="str">
        <f t="shared" si="66"/>
        <v>2016</v>
      </c>
      <c r="B2129" s="72" t="s">
        <v>131</v>
      </c>
      <c r="C2129" s="73" t="s">
        <v>132</v>
      </c>
      <c r="D2129" s="74" t="str">
        <f t="shared" si="67"/>
        <v>ago/2016</v>
      </c>
      <c r="E2129" s="53">
        <v>42601</v>
      </c>
      <c r="F2129" s="75"/>
      <c r="G2129" s="72"/>
      <c r="H2129" s="49" t="s">
        <v>1462</v>
      </c>
      <c r="I2129" s="49" t="s">
        <v>173</v>
      </c>
      <c r="J2129" s="76">
        <v>-227.42</v>
      </c>
      <c r="K2129" s="83" t="str">
        <f>IFERROR(IFERROR(VLOOKUP(I2129,'DE-PARA'!B:D,3,0),VLOOKUP(I2129,'DE-PARA'!C:D,2,0)),"NÃO ENCONTRADO")</f>
        <v>Serviços</v>
      </c>
      <c r="L2129" s="50" t="str">
        <f>VLOOKUP(K2129,'Base -Receita-Despesa'!$B:$P,1,FALSE)</f>
        <v>Serviços</v>
      </c>
    </row>
    <row r="2130" spans="1:12" ht="15" customHeight="1" x14ac:dyDescent="0.3">
      <c r="A2130" s="82" t="str">
        <f t="shared" si="66"/>
        <v>2016</v>
      </c>
      <c r="B2130" s="72" t="s">
        <v>131</v>
      </c>
      <c r="C2130" s="73" t="s">
        <v>132</v>
      </c>
      <c r="D2130" s="74" t="str">
        <f t="shared" si="67"/>
        <v>ago/2016</v>
      </c>
      <c r="E2130" s="53">
        <v>42601</v>
      </c>
      <c r="F2130" s="75"/>
      <c r="G2130" s="72"/>
      <c r="H2130" s="49" t="s">
        <v>1463</v>
      </c>
      <c r="I2130" s="49" t="s">
        <v>173</v>
      </c>
      <c r="J2130" s="76">
        <v>-141.86000000000001</v>
      </c>
      <c r="K2130" s="83" t="str">
        <f>IFERROR(IFERROR(VLOOKUP(I2130,'DE-PARA'!B:D,3,0),VLOOKUP(I2130,'DE-PARA'!C:D,2,0)),"NÃO ENCONTRADO")</f>
        <v>Serviços</v>
      </c>
      <c r="L2130" s="50" t="str">
        <f>VLOOKUP(K2130,'Base -Receita-Despesa'!$B:$P,1,FALSE)</f>
        <v>Serviços</v>
      </c>
    </row>
    <row r="2131" spans="1:12" ht="15" customHeight="1" x14ac:dyDescent="0.3">
      <c r="A2131" s="82" t="str">
        <f t="shared" si="66"/>
        <v>2016</v>
      </c>
      <c r="B2131" s="72" t="s">
        <v>131</v>
      </c>
      <c r="C2131" s="73" t="s">
        <v>132</v>
      </c>
      <c r="D2131" s="74" t="str">
        <f t="shared" si="67"/>
        <v>ago/2016</v>
      </c>
      <c r="E2131" s="53">
        <v>42601</v>
      </c>
      <c r="F2131" s="75"/>
      <c r="G2131" s="72"/>
      <c r="H2131" s="49" t="s">
        <v>1464</v>
      </c>
      <c r="I2131" s="49" t="s">
        <v>171</v>
      </c>
      <c r="J2131" s="76">
        <v>-158.75</v>
      </c>
      <c r="K2131" s="83" t="str">
        <f>IFERROR(IFERROR(VLOOKUP(I2131,'DE-PARA'!B:D,3,0),VLOOKUP(I2131,'DE-PARA'!C:D,2,0)),"NÃO ENCONTRADO")</f>
        <v>Serviços</v>
      </c>
      <c r="L2131" s="50" t="str">
        <f>VLOOKUP(K2131,'Base -Receita-Despesa'!$B:$P,1,FALSE)</f>
        <v>Serviços</v>
      </c>
    </row>
    <row r="2132" spans="1:12" ht="15" customHeight="1" x14ac:dyDescent="0.3">
      <c r="A2132" s="82" t="str">
        <f t="shared" si="66"/>
        <v>2016</v>
      </c>
      <c r="B2132" s="72" t="s">
        <v>131</v>
      </c>
      <c r="C2132" s="73" t="s">
        <v>132</v>
      </c>
      <c r="D2132" s="74" t="str">
        <f t="shared" si="67"/>
        <v>ago/2016</v>
      </c>
      <c r="E2132" s="53">
        <v>42601</v>
      </c>
      <c r="F2132" s="75"/>
      <c r="G2132" s="72"/>
      <c r="H2132" s="49" t="s">
        <v>1465</v>
      </c>
      <c r="I2132" s="49" t="s">
        <v>171</v>
      </c>
      <c r="J2132" s="76">
        <v>-394.68</v>
      </c>
      <c r="K2132" s="83" t="str">
        <f>IFERROR(IFERROR(VLOOKUP(I2132,'DE-PARA'!B:D,3,0),VLOOKUP(I2132,'DE-PARA'!C:D,2,0)),"NÃO ENCONTRADO")</f>
        <v>Serviços</v>
      </c>
      <c r="L2132" s="50" t="str">
        <f>VLOOKUP(K2132,'Base -Receita-Despesa'!$B:$P,1,FALSE)</f>
        <v>Serviços</v>
      </c>
    </row>
    <row r="2133" spans="1:12" ht="15" customHeight="1" x14ac:dyDescent="0.3">
      <c r="A2133" s="82" t="str">
        <f t="shared" si="66"/>
        <v>2016</v>
      </c>
      <c r="B2133" s="72" t="s">
        <v>131</v>
      </c>
      <c r="C2133" s="73" t="s">
        <v>132</v>
      </c>
      <c r="D2133" s="74" t="str">
        <f t="shared" si="67"/>
        <v>ago/2016</v>
      </c>
      <c r="E2133" s="53">
        <v>42601</v>
      </c>
      <c r="F2133" s="75"/>
      <c r="G2133" s="72"/>
      <c r="H2133" s="49" t="s">
        <v>1466</v>
      </c>
      <c r="I2133" s="49" t="s">
        <v>112</v>
      </c>
      <c r="J2133" s="76">
        <v>-1050</v>
      </c>
      <c r="K2133" s="83" t="str">
        <f>IFERROR(IFERROR(VLOOKUP(I2133,'DE-PARA'!B:D,3,0),VLOOKUP(I2133,'DE-PARA'!C:D,2,0)),"NÃO ENCONTRADO")</f>
        <v>Serviços</v>
      </c>
      <c r="L2133" s="50" t="str">
        <f>VLOOKUP(K2133,'Base -Receita-Despesa'!$B:$P,1,FALSE)</f>
        <v>Serviços</v>
      </c>
    </row>
    <row r="2134" spans="1:12" ht="15" customHeight="1" x14ac:dyDescent="0.3">
      <c r="A2134" s="82" t="str">
        <f t="shared" si="66"/>
        <v>2016</v>
      </c>
      <c r="B2134" s="72" t="s">
        <v>131</v>
      </c>
      <c r="C2134" s="73" t="s">
        <v>132</v>
      </c>
      <c r="D2134" s="74" t="str">
        <f t="shared" si="67"/>
        <v>ago/2016</v>
      </c>
      <c r="E2134" s="53">
        <v>42601</v>
      </c>
      <c r="F2134" s="75"/>
      <c r="G2134" s="72"/>
      <c r="H2134" s="49" t="s">
        <v>1467</v>
      </c>
      <c r="I2134" s="49" t="s">
        <v>191</v>
      </c>
      <c r="J2134" s="76">
        <v>-51</v>
      </c>
      <c r="K2134" s="83" t="str">
        <f>IFERROR(IFERROR(VLOOKUP(I2134,'DE-PARA'!B:D,3,0),VLOOKUP(I2134,'DE-PARA'!C:D,2,0)),"NÃO ENCONTRADO")</f>
        <v>Serviços</v>
      </c>
      <c r="L2134" s="50" t="str">
        <f>VLOOKUP(K2134,'Base -Receita-Despesa'!$B:$P,1,FALSE)</f>
        <v>Serviços</v>
      </c>
    </row>
    <row r="2135" spans="1:12" ht="15" customHeight="1" x14ac:dyDescent="0.3">
      <c r="A2135" s="82" t="str">
        <f t="shared" si="66"/>
        <v>2016</v>
      </c>
      <c r="B2135" s="72" t="s">
        <v>131</v>
      </c>
      <c r="C2135" s="73" t="s">
        <v>132</v>
      </c>
      <c r="D2135" s="74" t="str">
        <f t="shared" si="67"/>
        <v>ago/2016</v>
      </c>
      <c r="E2135" s="53">
        <v>42601</v>
      </c>
      <c r="F2135" s="75"/>
      <c r="G2135" s="72"/>
      <c r="H2135" s="49" t="s">
        <v>1468</v>
      </c>
      <c r="I2135" s="49" t="s">
        <v>185</v>
      </c>
      <c r="J2135" s="76">
        <v>-49988.4</v>
      </c>
      <c r="K2135" s="83" t="str">
        <f>IFERROR(IFERROR(VLOOKUP(I2135,'DE-PARA'!B:D,3,0),VLOOKUP(I2135,'DE-PARA'!C:D,2,0)),"NÃO ENCONTRADO")</f>
        <v>Encargos sobre Folha de Pagamento</v>
      </c>
      <c r="L2135" s="50" t="str">
        <f>VLOOKUP(K2135,'Base -Receita-Despesa'!$B:$P,1,FALSE)</f>
        <v>Encargos sobre Folha de Pagamento</v>
      </c>
    </row>
    <row r="2136" spans="1:12" ht="15" customHeight="1" x14ac:dyDescent="0.3">
      <c r="A2136" s="82" t="str">
        <f t="shared" si="66"/>
        <v>2016</v>
      </c>
      <c r="B2136" s="72" t="s">
        <v>131</v>
      </c>
      <c r="C2136" s="73" t="s">
        <v>132</v>
      </c>
      <c r="D2136" s="74" t="str">
        <f t="shared" si="67"/>
        <v>ago/2016</v>
      </c>
      <c r="E2136" s="53">
        <v>42601</v>
      </c>
      <c r="F2136" s="75"/>
      <c r="G2136" s="72"/>
      <c r="H2136" s="49" t="s">
        <v>1469</v>
      </c>
      <c r="I2136" s="49" t="s">
        <v>113</v>
      </c>
      <c r="J2136" s="76">
        <v>-2277.5700000000002</v>
      </c>
      <c r="K2136" s="83" t="str">
        <f>IFERROR(IFERROR(VLOOKUP(I2136,'DE-PARA'!B:D,3,0),VLOOKUP(I2136,'DE-PARA'!C:D,2,0)),"NÃO ENCONTRADO")</f>
        <v>Serviços</v>
      </c>
      <c r="L2136" s="50" t="str">
        <f>VLOOKUP(K2136,'Base -Receita-Despesa'!$B:$P,1,FALSE)</f>
        <v>Serviços</v>
      </c>
    </row>
    <row r="2137" spans="1:12" ht="15" customHeight="1" x14ac:dyDescent="0.3">
      <c r="A2137" s="82" t="str">
        <f t="shared" si="66"/>
        <v>2016</v>
      </c>
      <c r="B2137" s="72" t="s">
        <v>131</v>
      </c>
      <c r="C2137" s="73" t="s">
        <v>132</v>
      </c>
      <c r="D2137" s="74" t="str">
        <f t="shared" si="67"/>
        <v>ago/2016</v>
      </c>
      <c r="E2137" s="53">
        <v>42601</v>
      </c>
      <c r="F2137" s="75"/>
      <c r="G2137" s="72"/>
      <c r="H2137" s="49" t="s">
        <v>1470</v>
      </c>
      <c r="I2137" s="49" t="s">
        <v>138</v>
      </c>
      <c r="J2137" s="76">
        <v>-233.57</v>
      </c>
      <c r="K2137" s="83" t="str">
        <f>IFERROR(IFERROR(VLOOKUP(I2137,'DE-PARA'!B:D,3,0),VLOOKUP(I2137,'DE-PARA'!C:D,2,0)),"NÃO ENCONTRADO")</f>
        <v>Serviços</v>
      </c>
      <c r="L2137" s="50" t="str">
        <f>VLOOKUP(K2137,'Base -Receita-Despesa'!$B:$P,1,FALSE)</f>
        <v>Serviços</v>
      </c>
    </row>
    <row r="2138" spans="1:12" ht="15" customHeight="1" x14ac:dyDescent="0.3">
      <c r="A2138" s="82" t="str">
        <f t="shared" si="66"/>
        <v>2016</v>
      </c>
      <c r="B2138" s="72" t="s">
        <v>131</v>
      </c>
      <c r="C2138" s="73" t="s">
        <v>132</v>
      </c>
      <c r="D2138" s="74" t="str">
        <f t="shared" si="67"/>
        <v>ago/2016</v>
      </c>
      <c r="E2138" s="53">
        <v>42601</v>
      </c>
      <c r="F2138" s="75"/>
      <c r="G2138" s="72"/>
      <c r="H2138" s="49" t="s">
        <v>1471</v>
      </c>
      <c r="I2138" s="49" t="s">
        <v>113</v>
      </c>
      <c r="J2138" s="76">
        <v>-5177.34</v>
      </c>
      <c r="K2138" s="83" t="str">
        <f>IFERROR(IFERROR(VLOOKUP(I2138,'DE-PARA'!B:D,3,0),VLOOKUP(I2138,'DE-PARA'!C:D,2,0)),"NÃO ENCONTRADO")</f>
        <v>Serviços</v>
      </c>
      <c r="L2138" s="50" t="str">
        <f>VLOOKUP(K2138,'Base -Receita-Despesa'!$B:$P,1,FALSE)</f>
        <v>Serviços</v>
      </c>
    </row>
    <row r="2139" spans="1:12" ht="15" customHeight="1" x14ac:dyDescent="0.3">
      <c r="A2139" s="82" t="str">
        <f t="shared" si="66"/>
        <v>2016</v>
      </c>
      <c r="B2139" s="72" t="s">
        <v>131</v>
      </c>
      <c r="C2139" s="73" t="s">
        <v>132</v>
      </c>
      <c r="D2139" s="74" t="str">
        <f t="shared" si="67"/>
        <v>ago/2016</v>
      </c>
      <c r="E2139" s="53">
        <v>42601</v>
      </c>
      <c r="F2139" s="75"/>
      <c r="G2139" s="72"/>
      <c r="H2139" s="49" t="s">
        <v>1472</v>
      </c>
      <c r="I2139" s="49" t="s">
        <v>110</v>
      </c>
      <c r="J2139" s="76">
        <v>-189.72</v>
      </c>
      <c r="K2139" s="83" t="str">
        <f>IFERROR(IFERROR(VLOOKUP(I2139,'DE-PARA'!B:D,3,0),VLOOKUP(I2139,'DE-PARA'!C:D,2,0)),"NÃO ENCONTRADO")</f>
        <v>Serviços</v>
      </c>
      <c r="L2139" s="50" t="str">
        <f>VLOOKUP(K2139,'Base -Receita-Despesa'!$B:$P,1,FALSE)</f>
        <v>Serviços</v>
      </c>
    </row>
    <row r="2140" spans="1:12" ht="15" customHeight="1" x14ac:dyDescent="0.3">
      <c r="A2140" s="82" t="str">
        <f t="shared" si="66"/>
        <v>2016</v>
      </c>
      <c r="B2140" s="72" t="s">
        <v>131</v>
      </c>
      <c r="C2140" s="73" t="s">
        <v>132</v>
      </c>
      <c r="D2140" s="74" t="str">
        <f t="shared" si="67"/>
        <v>ago/2016</v>
      </c>
      <c r="E2140" s="53">
        <v>42601</v>
      </c>
      <c r="F2140" s="75"/>
      <c r="G2140" s="72"/>
      <c r="H2140" s="49" t="s">
        <v>1473</v>
      </c>
      <c r="I2140" s="49" t="s">
        <v>173</v>
      </c>
      <c r="J2140" s="76">
        <v>-1057.52</v>
      </c>
      <c r="K2140" s="83" t="str">
        <f>IFERROR(IFERROR(VLOOKUP(I2140,'DE-PARA'!B:D,3,0),VLOOKUP(I2140,'DE-PARA'!C:D,2,0)),"NÃO ENCONTRADO")</f>
        <v>Serviços</v>
      </c>
      <c r="L2140" s="50" t="str">
        <f>VLOOKUP(K2140,'Base -Receita-Despesa'!$B:$P,1,FALSE)</f>
        <v>Serviços</v>
      </c>
    </row>
    <row r="2141" spans="1:12" ht="15" customHeight="1" x14ac:dyDescent="0.3">
      <c r="A2141" s="82" t="str">
        <f t="shared" si="66"/>
        <v>2016</v>
      </c>
      <c r="B2141" s="72" t="s">
        <v>131</v>
      </c>
      <c r="C2141" s="73" t="s">
        <v>132</v>
      </c>
      <c r="D2141" s="74" t="str">
        <f t="shared" si="67"/>
        <v>ago/2016</v>
      </c>
      <c r="E2141" s="53">
        <v>42601</v>
      </c>
      <c r="F2141" s="75"/>
      <c r="G2141" s="72"/>
      <c r="H2141" s="49" t="s">
        <v>1474</v>
      </c>
      <c r="I2141" s="49" t="s">
        <v>173</v>
      </c>
      <c r="J2141" s="76">
        <v>-640.30999999999995</v>
      </c>
      <c r="K2141" s="83" t="str">
        <f>IFERROR(IFERROR(VLOOKUP(I2141,'DE-PARA'!B:D,3,0),VLOOKUP(I2141,'DE-PARA'!C:D,2,0)),"NÃO ENCONTRADO")</f>
        <v>Serviços</v>
      </c>
      <c r="L2141" s="50" t="str">
        <f>VLOOKUP(K2141,'Base -Receita-Despesa'!$B:$P,1,FALSE)</f>
        <v>Serviços</v>
      </c>
    </row>
    <row r="2142" spans="1:12" ht="15" customHeight="1" x14ac:dyDescent="0.3">
      <c r="A2142" s="82" t="str">
        <f t="shared" si="66"/>
        <v>2016</v>
      </c>
      <c r="B2142" s="72" t="s">
        <v>131</v>
      </c>
      <c r="C2142" s="73" t="s">
        <v>132</v>
      </c>
      <c r="D2142" s="74" t="str">
        <f t="shared" si="67"/>
        <v>ago/2016</v>
      </c>
      <c r="E2142" s="53">
        <v>42601</v>
      </c>
      <c r="F2142" s="75"/>
      <c r="G2142" s="72"/>
      <c r="H2142" s="49" t="s">
        <v>1475</v>
      </c>
      <c r="I2142" s="49" t="s">
        <v>173</v>
      </c>
      <c r="J2142" s="76">
        <v>-659.65</v>
      </c>
      <c r="K2142" s="83" t="str">
        <f>IFERROR(IFERROR(VLOOKUP(I2142,'DE-PARA'!B:D,3,0),VLOOKUP(I2142,'DE-PARA'!C:D,2,0)),"NÃO ENCONTRADO")</f>
        <v>Serviços</v>
      </c>
      <c r="L2142" s="50" t="str">
        <f>VLOOKUP(K2142,'Base -Receita-Despesa'!$B:$P,1,FALSE)</f>
        <v>Serviços</v>
      </c>
    </row>
    <row r="2143" spans="1:12" ht="15" customHeight="1" x14ac:dyDescent="0.3">
      <c r="A2143" s="82" t="str">
        <f t="shared" si="66"/>
        <v>2016</v>
      </c>
      <c r="B2143" s="72" t="s">
        <v>131</v>
      </c>
      <c r="C2143" s="73" t="s">
        <v>132</v>
      </c>
      <c r="D2143" s="74" t="str">
        <f t="shared" si="67"/>
        <v>ago/2016</v>
      </c>
      <c r="E2143" s="53">
        <v>42601</v>
      </c>
      <c r="F2143" s="75"/>
      <c r="G2143" s="72"/>
      <c r="H2143" s="49" t="s">
        <v>1212</v>
      </c>
      <c r="I2143" s="49" t="s">
        <v>171</v>
      </c>
      <c r="J2143" s="76">
        <v>-967.93</v>
      </c>
      <c r="K2143" s="83" t="str">
        <f>IFERROR(IFERROR(VLOOKUP(I2143,'DE-PARA'!B:D,3,0),VLOOKUP(I2143,'DE-PARA'!C:D,2,0)),"NÃO ENCONTRADO")</f>
        <v>Serviços</v>
      </c>
      <c r="L2143" s="50" t="str">
        <f>VLOOKUP(K2143,'Base -Receita-Despesa'!$B:$P,1,FALSE)</f>
        <v>Serviços</v>
      </c>
    </row>
    <row r="2144" spans="1:12" ht="15" customHeight="1" x14ac:dyDescent="0.3">
      <c r="A2144" s="82" t="str">
        <f t="shared" si="66"/>
        <v>2016</v>
      </c>
      <c r="B2144" s="72" t="s">
        <v>131</v>
      </c>
      <c r="C2144" s="73" t="s">
        <v>132</v>
      </c>
      <c r="D2144" s="74" t="str">
        <f t="shared" si="67"/>
        <v>ago/2016</v>
      </c>
      <c r="E2144" s="53">
        <v>42601</v>
      </c>
      <c r="F2144" s="75"/>
      <c r="G2144" s="72"/>
      <c r="H2144" s="49" t="s">
        <v>1476</v>
      </c>
      <c r="I2144" s="49" t="s">
        <v>171</v>
      </c>
      <c r="J2144" s="76">
        <v>-492.12</v>
      </c>
      <c r="K2144" s="83" t="str">
        <f>IFERROR(IFERROR(VLOOKUP(I2144,'DE-PARA'!B:D,3,0),VLOOKUP(I2144,'DE-PARA'!C:D,2,0)),"NÃO ENCONTRADO")</f>
        <v>Serviços</v>
      </c>
      <c r="L2144" s="50" t="str">
        <f>VLOOKUP(K2144,'Base -Receita-Despesa'!$B:$P,1,FALSE)</f>
        <v>Serviços</v>
      </c>
    </row>
    <row r="2145" spans="1:12" ht="15" customHeight="1" x14ac:dyDescent="0.3">
      <c r="A2145" s="82" t="str">
        <f t="shared" si="66"/>
        <v>2016</v>
      </c>
      <c r="B2145" s="72" t="s">
        <v>131</v>
      </c>
      <c r="C2145" s="73" t="s">
        <v>132</v>
      </c>
      <c r="D2145" s="74" t="str">
        <f t="shared" si="67"/>
        <v>ago/2016</v>
      </c>
      <c r="E2145" s="53">
        <v>42601</v>
      </c>
      <c r="F2145" s="75"/>
      <c r="G2145" s="72"/>
      <c r="H2145" s="49" t="s">
        <v>1477</v>
      </c>
      <c r="I2145" s="49" t="s">
        <v>171</v>
      </c>
      <c r="J2145" s="76">
        <v>-1223.51</v>
      </c>
      <c r="K2145" s="83" t="str">
        <f>IFERROR(IFERROR(VLOOKUP(I2145,'DE-PARA'!B:D,3,0),VLOOKUP(I2145,'DE-PARA'!C:D,2,0)),"NÃO ENCONTRADO")</f>
        <v>Serviços</v>
      </c>
      <c r="L2145" s="50" t="str">
        <f>VLOOKUP(K2145,'Base -Receita-Despesa'!$B:$P,1,FALSE)</f>
        <v>Serviços</v>
      </c>
    </row>
    <row r="2146" spans="1:12" ht="15" customHeight="1" x14ac:dyDescent="0.3">
      <c r="A2146" s="82" t="str">
        <f t="shared" si="66"/>
        <v>2016</v>
      </c>
      <c r="B2146" s="72" t="s">
        <v>131</v>
      </c>
      <c r="C2146" s="73" t="s">
        <v>132</v>
      </c>
      <c r="D2146" s="74" t="str">
        <f t="shared" si="67"/>
        <v>ago/2016</v>
      </c>
      <c r="E2146" s="53">
        <v>42601</v>
      </c>
      <c r="F2146" s="75"/>
      <c r="G2146" s="72"/>
      <c r="H2146" s="49" t="s">
        <v>1478</v>
      </c>
      <c r="I2146" s="49" t="s">
        <v>110</v>
      </c>
      <c r="J2146" s="76">
        <v>-39.53</v>
      </c>
      <c r="K2146" s="83" t="str">
        <f>IFERROR(IFERROR(VLOOKUP(I2146,'DE-PARA'!B:D,3,0),VLOOKUP(I2146,'DE-PARA'!C:D,2,0)),"NÃO ENCONTRADO")</f>
        <v>Serviços</v>
      </c>
      <c r="L2146" s="50" t="str">
        <f>VLOOKUP(K2146,'Base -Receita-Despesa'!$B:$P,1,FALSE)</f>
        <v>Serviços</v>
      </c>
    </row>
    <row r="2147" spans="1:12" ht="15" customHeight="1" x14ac:dyDescent="0.3">
      <c r="A2147" s="82" t="str">
        <f t="shared" si="66"/>
        <v>2016</v>
      </c>
      <c r="B2147" s="72" t="s">
        <v>131</v>
      </c>
      <c r="C2147" s="73" t="s">
        <v>132</v>
      </c>
      <c r="D2147" s="74" t="str">
        <f t="shared" si="67"/>
        <v>ago/2016</v>
      </c>
      <c r="E2147" s="53">
        <v>42601</v>
      </c>
      <c r="F2147" s="75"/>
      <c r="G2147" s="72"/>
      <c r="H2147" s="49" t="s">
        <v>1479</v>
      </c>
      <c r="I2147" s="49" t="s">
        <v>191</v>
      </c>
      <c r="J2147" s="76">
        <v>-158.1</v>
      </c>
      <c r="K2147" s="83" t="str">
        <f>IFERROR(IFERROR(VLOOKUP(I2147,'DE-PARA'!B:D,3,0),VLOOKUP(I2147,'DE-PARA'!C:D,2,0)),"NÃO ENCONTRADO")</f>
        <v>Serviços</v>
      </c>
      <c r="L2147" s="50" t="str">
        <f>VLOOKUP(K2147,'Base -Receita-Despesa'!$B:$P,1,FALSE)</f>
        <v>Serviços</v>
      </c>
    </row>
    <row r="2148" spans="1:12" ht="15" customHeight="1" x14ac:dyDescent="0.3">
      <c r="A2148" s="82" t="str">
        <f t="shared" si="66"/>
        <v>2016</v>
      </c>
      <c r="B2148" s="72" t="s">
        <v>131</v>
      </c>
      <c r="C2148" s="73" t="s">
        <v>132</v>
      </c>
      <c r="D2148" s="74" t="str">
        <f t="shared" si="67"/>
        <v>ago/2016</v>
      </c>
      <c r="E2148" s="53">
        <v>42601</v>
      </c>
      <c r="F2148" s="75"/>
      <c r="G2148" s="72"/>
      <c r="H2148" s="49" t="s">
        <v>1480</v>
      </c>
      <c r="I2148" s="49" t="s">
        <v>185</v>
      </c>
      <c r="J2148" s="76">
        <v>-4624.57</v>
      </c>
      <c r="K2148" s="83" t="str">
        <f>IFERROR(IFERROR(VLOOKUP(I2148,'DE-PARA'!B:D,3,0),VLOOKUP(I2148,'DE-PARA'!C:D,2,0)),"NÃO ENCONTRADO")</f>
        <v>Encargos sobre Folha de Pagamento</v>
      </c>
      <c r="L2148" s="50" t="str">
        <f>VLOOKUP(K2148,'Base -Receita-Despesa'!$B:$P,1,FALSE)</f>
        <v>Encargos sobre Folha de Pagamento</v>
      </c>
    </row>
    <row r="2149" spans="1:12" ht="15" customHeight="1" x14ac:dyDescent="0.3">
      <c r="A2149" s="82" t="str">
        <f t="shared" si="66"/>
        <v>2016</v>
      </c>
      <c r="B2149" s="72" t="s">
        <v>131</v>
      </c>
      <c r="C2149" s="73" t="s">
        <v>132</v>
      </c>
      <c r="D2149" s="74" t="str">
        <f t="shared" si="67"/>
        <v>ago/2016</v>
      </c>
      <c r="E2149" s="53">
        <v>42601</v>
      </c>
      <c r="F2149" s="75"/>
      <c r="G2149" s="72"/>
      <c r="H2149" s="49" t="s">
        <v>1046</v>
      </c>
      <c r="I2149" s="49" t="s">
        <v>121</v>
      </c>
      <c r="J2149" s="76">
        <v>393456.65</v>
      </c>
      <c r="K2149" s="83" t="s">
        <v>93</v>
      </c>
      <c r="L2149" s="50" t="str">
        <f>VLOOKUP(K2149,'Base -Receita-Despesa'!$B:$P,1,FALSE)</f>
        <v>Transferências da c/c para c/a ou c/p (-)</v>
      </c>
    </row>
    <row r="2150" spans="1:12" ht="15" customHeight="1" x14ac:dyDescent="0.3">
      <c r="A2150" s="82" t="str">
        <f t="shared" si="66"/>
        <v>2016</v>
      </c>
      <c r="B2150" s="72" t="s">
        <v>131</v>
      </c>
      <c r="C2150" s="73" t="s">
        <v>132</v>
      </c>
      <c r="D2150" s="74" t="str">
        <f t="shared" si="67"/>
        <v>ago/2016</v>
      </c>
      <c r="E2150" s="53">
        <v>42604</v>
      </c>
      <c r="F2150" s="75"/>
      <c r="G2150" s="72"/>
      <c r="H2150" s="49" t="s">
        <v>1481</v>
      </c>
      <c r="I2150" s="49" t="s">
        <v>159</v>
      </c>
      <c r="J2150" s="76">
        <v>-521.44000000000005</v>
      </c>
      <c r="K2150" s="83" t="str">
        <f>IFERROR(IFERROR(VLOOKUP(I2150,'DE-PARA'!B:D,3,0),VLOOKUP(I2150,'DE-PARA'!C:D,2,0)),"NÃO ENCONTRADO")</f>
        <v>Materiais</v>
      </c>
      <c r="L2150" s="50" t="str">
        <f>VLOOKUP(K2150,'Base -Receita-Despesa'!$B:$P,1,FALSE)</f>
        <v>Materiais</v>
      </c>
    </row>
    <row r="2151" spans="1:12" ht="15" customHeight="1" x14ac:dyDescent="0.3">
      <c r="A2151" s="82" t="str">
        <f t="shared" si="66"/>
        <v>2016</v>
      </c>
      <c r="B2151" s="72" t="s">
        <v>131</v>
      </c>
      <c r="C2151" s="73" t="s">
        <v>132</v>
      </c>
      <c r="D2151" s="74" t="str">
        <f t="shared" si="67"/>
        <v>ago/2016</v>
      </c>
      <c r="E2151" s="53">
        <v>42604</v>
      </c>
      <c r="F2151" s="75"/>
      <c r="G2151" s="72"/>
      <c r="H2151" s="49" t="s">
        <v>1275</v>
      </c>
      <c r="I2151" s="49" t="s">
        <v>317</v>
      </c>
      <c r="J2151" s="76">
        <v>-1848</v>
      </c>
      <c r="K2151" s="83" t="str">
        <f>IFERROR(IFERROR(VLOOKUP(I2151,'DE-PARA'!B:D,3,0),VLOOKUP(I2151,'DE-PARA'!C:D,2,0)),"NÃO ENCONTRADO")</f>
        <v>Investimentos</v>
      </c>
      <c r="L2151" s="50" t="str">
        <f>VLOOKUP(K2151,'Base -Receita-Despesa'!$B:$P,1,FALSE)</f>
        <v>Investimentos</v>
      </c>
    </row>
    <row r="2152" spans="1:12" ht="15" customHeight="1" x14ac:dyDescent="0.3">
      <c r="A2152" s="82" t="str">
        <f t="shared" si="66"/>
        <v>2016</v>
      </c>
      <c r="B2152" s="72" t="s">
        <v>131</v>
      </c>
      <c r="C2152" s="73" t="s">
        <v>132</v>
      </c>
      <c r="D2152" s="74" t="str">
        <f t="shared" si="67"/>
        <v>ago/2016</v>
      </c>
      <c r="E2152" s="53">
        <v>42604</v>
      </c>
      <c r="F2152" s="75"/>
      <c r="G2152" s="72"/>
      <c r="H2152" s="49" t="s">
        <v>1320</v>
      </c>
      <c r="I2152" s="49" t="s">
        <v>138</v>
      </c>
      <c r="J2152" s="76">
        <v>-550</v>
      </c>
      <c r="K2152" s="83" t="str">
        <f>IFERROR(IFERROR(VLOOKUP(I2152,'DE-PARA'!B:D,3,0),VLOOKUP(I2152,'DE-PARA'!C:D,2,0)),"NÃO ENCONTRADO")</f>
        <v>Serviços</v>
      </c>
      <c r="L2152" s="50" t="str">
        <f>VLOOKUP(K2152,'Base -Receita-Despesa'!$B:$P,1,FALSE)</f>
        <v>Serviços</v>
      </c>
    </row>
    <row r="2153" spans="1:12" ht="15" customHeight="1" x14ac:dyDescent="0.3">
      <c r="A2153" s="82" t="str">
        <f t="shared" si="66"/>
        <v>2016</v>
      </c>
      <c r="B2153" s="72" t="s">
        <v>131</v>
      </c>
      <c r="C2153" s="73" t="s">
        <v>132</v>
      </c>
      <c r="D2153" s="74" t="str">
        <f t="shared" si="67"/>
        <v>ago/2016</v>
      </c>
      <c r="E2153" s="53">
        <v>42604</v>
      </c>
      <c r="F2153" s="75"/>
      <c r="G2153" s="72"/>
      <c r="H2153" s="49" t="s">
        <v>1482</v>
      </c>
      <c r="I2153" s="49" t="s">
        <v>529</v>
      </c>
      <c r="J2153" s="76">
        <v>-96.04</v>
      </c>
      <c r="K2153" s="83" t="str">
        <f>IFERROR(IFERROR(VLOOKUP(I2153,'DE-PARA'!B:D,3,0),VLOOKUP(I2153,'DE-PARA'!C:D,2,0)),"NÃO ENCONTRADO")</f>
        <v>Tributos, Taxas e Contribuições</v>
      </c>
      <c r="L2153" s="50" t="str">
        <f>VLOOKUP(K2153,'Base -Receita-Despesa'!$B:$P,1,FALSE)</f>
        <v>Tributos, Taxas e Contribuições</v>
      </c>
    </row>
    <row r="2154" spans="1:12" ht="15" customHeight="1" x14ac:dyDescent="0.3">
      <c r="A2154" s="82" t="str">
        <f t="shared" si="66"/>
        <v>2016</v>
      </c>
      <c r="B2154" s="72" t="s">
        <v>131</v>
      </c>
      <c r="C2154" s="73" t="s">
        <v>132</v>
      </c>
      <c r="D2154" s="74" t="str">
        <f t="shared" si="67"/>
        <v>ago/2016</v>
      </c>
      <c r="E2154" s="53">
        <v>42604</v>
      </c>
      <c r="F2154" s="75"/>
      <c r="G2154" s="72"/>
      <c r="H2154" s="49" t="s">
        <v>382</v>
      </c>
      <c r="I2154" s="49" t="s">
        <v>159</v>
      </c>
      <c r="J2154" s="76">
        <v>-1103.98</v>
      </c>
      <c r="K2154" s="83" t="str">
        <f>IFERROR(IFERROR(VLOOKUP(I2154,'DE-PARA'!B:D,3,0),VLOOKUP(I2154,'DE-PARA'!C:D,2,0)),"NÃO ENCONTRADO")</f>
        <v>Materiais</v>
      </c>
      <c r="L2154" s="50" t="str">
        <f>VLOOKUP(K2154,'Base -Receita-Despesa'!$B:$P,1,FALSE)</f>
        <v>Materiais</v>
      </c>
    </row>
    <row r="2155" spans="1:12" ht="15" customHeight="1" x14ac:dyDescent="0.3">
      <c r="A2155" s="82" t="str">
        <f t="shared" si="66"/>
        <v>2016</v>
      </c>
      <c r="B2155" s="72" t="s">
        <v>131</v>
      </c>
      <c r="C2155" s="73" t="s">
        <v>132</v>
      </c>
      <c r="D2155" s="74" t="str">
        <f t="shared" si="67"/>
        <v>ago/2016</v>
      </c>
      <c r="E2155" s="53">
        <v>42604</v>
      </c>
      <c r="F2155" s="75"/>
      <c r="G2155" s="72"/>
      <c r="H2155" s="49" t="s">
        <v>505</v>
      </c>
      <c r="I2155" s="49" t="s">
        <v>144</v>
      </c>
      <c r="J2155" s="76">
        <v>-2485.6</v>
      </c>
      <c r="K2155" s="83" t="str">
        <f>IFERROR(IFERROR(VLOOKUP(I2155,'DE-PARA'!B:D,3,0),VLOOKUP(I2155,'DE-PARA'!C:D,2,0)),"NÃO ENCONTRADO")</f>
        <v>Concessionárias (água, luz e telefone)</v>
      </c>
      <c r="L2155" s="50" t="str">
        <f>VLOOKUP(K2155,'Base -Receita-Despesa'!$B:$P,1,FALSE)</f>
        <v>Concessionárias (água, luz e telefone)</v>
      </c>
    </row>
    <row r="2156" spans="1:12" ht="15" customHeight="1" x14ac:dyDescent="0.3">
      <c r="A2156" s="82" t="str">
        <f t="shared" si="66"/>
        <v>2016</v>
      </c>
      <c r="B2156" s="72" t="s">
        <v>131</v>
      </c>
      <c r="C2156" s="73" t="s">
        <v>132</v>
      </c>
      <c r="D2156" s="74" t="str">
        <f t="shared" si="67"/>
        <v>ago/2016</v>
      </c>
      <c r="E2156" s="53">
        <v>42604</v>
      </c>
      <c r="F2156" s="75"/>
      <c r="G2156" s="72"/>
      <c r="H2156" s="49" t="s">
        <v>505</v>
      </c>
      <c r="I2156" s="49" t="s">
        <v>144</v>
      </c>
      <c r="J2156" s="76">
        <v>-1494.26</v>
      </c>
      <c r="K2156" s="83" t="str">
        <f>IFERROR(IFERROR(VLOOKUP(I2156,'DE-PARA'!B:D,3,0),VLOOKUP(I2156,'DE-PARA'!C:D,2,0)),"NÃO ENCONTRADO")</f>
        <v>Concessionárias (água, luz e telefone)</v>
      </c>
      <c r="L2156" s="50" t="str">
        <f>VLOOKUP(K2156,'Base -Receita-Despesa'!$B:$P,1,FALSE)</f>
        <v>Concessionárias (água, luz e telefone)</v>
      </c>
    </row>
    <row r="2157" spans="1:12" ht="15" customHeight="1" x14ac:dyDescent="0.3">
      <c r="A2157" s="82" t="str">
        <f t="shared" si="66"/>
        <v>2016</v>
      </c>
      <c r="B2157" s="72" t="s">
        <v>131</v>
      </c>
      <c r="C2157" s="73" t="s">
        <v>132</v>
      </c>
      <c r="D2157" s="74" t="str">
        <f t="shared" si="67"/>
        <v>ago/2016</v>
      </c>
      <c r="E2157" s="53">
        <v>42604</v>
      </c>
      <c r="F2157" s="75"/>
      <c r="G2157" s="72"/>
      <c r="H2157" s="49" t="s">
        <v>170</v>
      </c>
      <c r="I2157" s="49" t="s">
        <v>171</v>
      </c>
      <c r="J2157" s="76">
        <v>-23467.66</v>
      </c>
      <c r="K2157" s="83" t="str">
        <f>IFERROR(IFERROR(VLOOKUP(I2157,'DE-PARA'!B:D,3,0),VLOOKUP(I2157,'DE-PARA'!C:D,2,0)),"NÃO ENCONTRADO")</f>
        <v>Serviços</v>
      </c>
      <c r="L2157" s="50" t="str">
        <f>VLOOKUP(K2157,'Base -Receita-Despesa'!$B:$P,1,FALSE)</f>
        <v>Serviços</v>
      </c>
    </row>
    <row r="2158" spans="1:12" ht="15" customHeight="1" x14ac:dyDescent="0.3">
      <c r="A2158" s="82" t="str">
        <f t="shared" si="66"/>
        <v>2016</v>
      </c>
      <c r="B2158" s="72" t="s">
        <v>131</v>
      </c>
      <c r="C2158" s="73" t="s">
        <v>132</v>
      </c>
      <c r="D2158" s="74" t="str">
        <f t="shared" si="67"/>
        <v>ago/2016</v>
      </c>
      <c r="E2158" s="53">
        <v>42604</v>
      </c>
      <c r="F2158" s="75"/>
      <c r="G2158" s="72"/>
      <c r="H2158" s="49" t="s">
        <v>170</v>
      </c>
      <c r="I2158" s="49" t="s">
        <v>171</v>
      </c>
      <c r="J2158" s="76">
        <v>-9437.7000000000007</v>
      </c>
      <c r="K2158" s="83" t="str">
        <f>IFERROR(IFERROR(VLOOKUP(I2158,'DE-PARA'!B:D,3,0),VLOOKUP(I2158,'DE-PARA'!C:D,2,0)),"NÃO ENCONTRADO")</f>
        <v>Serviços</v>
      </c>
      <c r="L2158" s="50" t="str">
        <f>VLOOKUP(K2158,'Base -Receita-Despesa'!$B:$P,1,FALSE)</f>
        <v>Serviços</v>
      </c>
    </row>
    <row r="2159" spans="1:12" ht="15" customHeight="1" x14ac:dyDescent="0.3">
      <c r="A2159" s="82" t="str">
        <f t="shared" si="66"/>
        <v>2016</v>
      </c>
      <c r="B2159" s="72" t="s">
        <v>131</v>
      </c>
      <c r="C2159" s="73" t="s">
        <v>132</v>
      </c>
      <c r="D2159" s="74" t="str">
        <f t="shared" si="67"/>
        <v>ago/2016</v>
      </c>
      <c r="E2159" s="53">
        <v>42606</v>
      </c>
      <c r="F2159" s="75"/>
      <c r="G2159" s="72"/>
      <c r="H2159" s="49" t="s">
        <v>673</v>
      </c>
      <c r="I2159" s="49" t="s">
        <v>192</v>
      </c>
      <c r="J2159" s="76">
        <v>-53.2</v>
      </c>
      <c r="K2159" s="83" t="str">
        <f>IFERROR(IFERROR(VLOOKUP(I2159,'DE-PARA'!B:D,3,0),VLOOKUP(I2159,'DE-PARA'!C:D,2,0)),"NÃO ENCONTRADO")</f>
        <v>Materiais</v>
      </c>
      <c r="L2159" s="50" t="str">
        <f>VLOOKUP(K2159,'Base -Receita-Despesa'!$B:$P,1,FALSE)</f>
        <v>Materiais</v>
      </c>
    </row>
    <row r="2160" spans="1:12" ht="15" customHeight="1" x14ac:dyDescent="0.3">
      <c r="A2160" s="82" t="str">
        <f t="shared" si="66"/>
        <v>2016</v>
      </c>
      <c r="B2160" s="72" t="s">
        <v>131</v>
      </c>
      <c r="C2160" s="73" t="s">
        <v>132</v>
      </c>
      <c r="D2160" s="74" t="str">
        <f t="shared" si="67"/>
        <v>ago/2016</v>
      </c>
      <c r="E2160" s="53">
        <v>42606</v>
      </c>
      <c r="F2160" s="75"/>
      <c r="G2160" s="72"/>
      <c r="H2160" s="49" t="s">
        <v>182</v>
      </c>
      <c r="I2160" s="49" t="s">
        <v>138</v>
      </c>
      <c r="J2160" s="76">
        <v>-6475.65</v>
      </c>
      <c r="K2160" s="83" t="str">
        <f>IFERROR(IFERROR(VLOOKUP(I2160,'DE-PARA'!B:D,3,0),VLOOKUP(I2160,'DE-PARA'!C:D,2,0)),"NÃO ENCONTRADO")</f>
        <v>Serviços</v>
      </c>
      <c r="L2160" s="50" t="str">
        <f>VLOOKUP(K2160,'Base -Receita-Despesa'!$B:$P,1,FALSE)</f>
        <v>Serviços</v>
      </c>
    </row>
    <row r="2161" spans="1:12" ht="15" customHeight="1" x14ac:dyDescent="0.3">
      <c r="A2161" s="82" t="str">
        <f t="shared" si="66"/>
        <v>2016</v>
      </c>
      <c r="B2161" s="72" t="s">
        <v>131</v>
      </c>
      <c r="C2161" s="73" t="s">
        <v>132</v>
      </c>
      <c r="D2161" s="74" t="str">
        <f t="shared" si="67"/>
        <v>ago/2016</v>
      </c>
      <c r="E2161" s="53">
        <v>42606</v>
      </c>
      <c r="F2161" s="75"/>
      <c r="G2161" s="72"/>
      <c r="H2161" s="49" t="s">
        <v>1006</v>
      </c>
      <c r="I2161" s="49" t="s">
        <v>159</v>
      </c>
      <c r="J2161" s="76">
        <v>-434</v>
      </c>
      <c r="K2161" s="83" t="str">
        <f>IFERROR(IFERROR(VLOOKUP(I2161,'DE-PARA'!B:D,3,0),VLOOKUP(I2161,'DE-PARA'!C:D,2,0)),"NÃO ENCONTRADO")</f>
        <v>Materiais</v>
      </c>
      <c r="L2161" s="50" t="str">
        <f>VLOOKUP(K2161,'Base -Receita-Despesa'!$B:$P,1,FALSE)</f>
        <v>Materiais</v>
      </c>
    </row>
    <row r="2162" spans="1:12" ht="15" customHeight="1" x14ac:dyDescent="0.3">
      <c r="A2162" s="82" t="str">
        <f t="shared" si="66"/>
        <v>2016</v>
      </c>
      <c r="B2162" s="72" t="s">
        <v>249</v>
      </c>
      <c r="C2162" s="73" t="s">
        <v>132</v>
      </c>
      <c r="D2162" s="74" t="str">
        <f t="shared" si="67"/>
        <v>ago/2016</v>
      </c>
      <c r="E2162" s="53">
        <v>42607</v>
      </c>
      <c r="F2162" s="75" t="s">
        <v>1244</v>
      </c>
      <c r="G2162" s="72"/>
      <c r="H2162" s="49" t="s">
        <v>1245</v>
      </c>
      <c r="I2162" s="49" t="s">
        <v>129</v>
      </c>
      <c r="J2162" s="76">
        <v>-25.3</v>
      </c>
      <c r="K2162" s="83" t="str">
        <f>IFERROR(IFERROR(VLOOKUP(I2162,'DE-PARA'!B:D,3,0),VLOOKUP(I2162,'DE-PARA'!C:D,2,0)),"NÃO ENCONTRADO")</f>
        <v>Outras Saídas</v>
      </c>
      <c r="L2162" s="50" t="str">
        <f>VLOOKUP(K2162,'Base -Receita-Despesa'!$B:$P,1,FALSE)</f>
        <v>Outras Saídas</v>
      </c>
    </row>
    <row r="2163" spans="1:12" ht="15" customHeight="1" x14ac:dyDescent="0.3">
      <c r="A2163" s="82" t="str">
        <f t="shared" si="66"/>
        <v>2016</v>
      </c>
      <c r="B2163" s="72" t="s">
        <v>131</v>
      </c>
      <c r="C2163" s="73" t="s">
        <v>132</v>
      </c>
      <c r="D2163" s="74" t="str">
        <f t="shared" si="67"/>
        <v>ago/2016</v>
      </c>
      <c r="E2163" s="53">
        <v>42607</v>
      </c>
      <c r="F2163" s="75"/>
      <c r="G2163" s="72"/>
      <c r="H2163" s="49" t="s">
        <v>594</v>
      </c>
      <c r="I2163" s="49" t="s">
        <v>1048</v>
      </c>
      <c r="J2163" s="76">
        <v>-90000</v>
      </c>
      <c r="K2163" s="83" t="str">
        <f>IFERROR(IFERROR(VLOOKUP(I2163,'DE-PARA'!B:D,3,0),VLOOKUP(I2163,'DE-PARA'!C:D,2,0)),"NÃO ENCONTRADO")</f>
        <v>Saídas Da C/A Por Regates (-)</v>
      </c>
      <c r="L2163" s="50" t="str">
        <f>VLOOKUP(K2163,'Base -Receita-Despesa'!$B:$P,1,FALSE)</f>
        <v>SAÍDAS DA C/A POR REGATES (-)</v>
      </c>
    </row>
    <row r="2164" spans="1:12" ht="15" customHeight="1" x14ac:dyDescent="0.3">
      <c r="A2164" s="82" t="str">
        <f t="shared" si="66"/>
        <v>2016</v>
      </c>
      <c r="B2164" s="72" t="s">
        <v>131</v>
      </c>
      <c r="C2164" s="73" t="s">
        <v>132</v>
      </c>
      <c r="D2164" s="74" t="str">
        <f t="shared" si="67"/>
        <v>ago/2016</v>
      </c>
      <c r="E2164" s="53">
        <v>42607</v>
      </c>
      <c r="F2164" s="75"/>
      <c r="G2164" s="72"/>
      <c r="H2164" s="49" t="s">
        <v>1483</v>
      </c>
      <c r="I2164" s="49" t="s">
        <v>317</v>
      </c>
      <c r="J2164" s="76">
        <v>-353</v>
      </c>
      <c r="K2164" s="83" t="str">
        <f>IFERROR(IFERROR(VLOOKUP(I2164,'DE-PARA'!B:D,3,0),VLOOKUP(I2164,'DE-PARA'!C:D,2,0)),"NÃO ENCONTRADO")</f>
        <v>Investimentos</v>
      </c>
      <c r="L2164" s="50" t="str">
        <f>VLOOKUP(K2164,'Base -Receita-Despesa'!$B:$P,1,FALSE)</f>
        <v>Investimentos</v>
      </c>
    </row>
    <row r="2165" spans="1:12" ht="15" customHeight="1" x14ac:dyDescent="0.3">
      <c r="A2165" s="82" t="str">
        <f t="shared" si="66"/>
        <v>2016</v>
      </c>
      <c r="B2165" s="72" t="s">
        <v>131</v>
      </c>
      <c r="C2165" s="73" t="s">
        <v>132</v>
      </c>
      <c r="D2165" s="74" t="str">
        <f t="shared" si="67"/>
        <v>ago/2016</v>
      </c>
      <c r="E2165" s="53">
        <v>42607</v>
      </c>
      <c r="F2165" s="75"/>
      <c r="G2165" s="72"/>
      <c r="H2165" s="49" t="s">
        <v>282</v>
      </c>
      <c r="I2165" s="49" t="s">
        <v>110</v>
      </c>
      <c r="J2165" s="76">
        <v>-1506.09</v>
      </c>
      <c r="K2165" s="83" t="str">
        <f>IFERROR(IFERROR(VLOOKUP(I2165,'DE-PARA'!B:D,3,0),VLOOKUP(I2165,'DE-PARA'!C:D,2,0)),"NÃO ENCONTRADO")</f>
        <v>Serviços</v>
      </c>
      <c r="L2165" s="50" t="str">
        <f>VLOOKUP(K2165,'Base -Receita-Despesa'!$B:$P,1,FALSE)</f>
        <v>Serviços</v>
      </c>
    </row>
    <row r="2166" spans="1:12" ht="15" customHeight="1" x14ac:dyDescent="0.3">
      <c r="A2166" s="82" t="str">
        <f t="shared" si="66"/>
        <v>2016</v>
      </c>
      <c r="B2166" s="72" t="s">
        <v>131</v>
      </c>
      <c r="C2166" s="73" t="s">
        <v>132</v>
      </c>
      <c r="D2166" s="74" t="str">
        <f t="shared" si="67"/>
        <v>ago/2016</v>
      </c>
      <c r="E2166" s="53">
        <v>42607</v>
      </c>
      <c r="F2166" s="75"/>
      <c r="G2166" s="72"/>
      <c r="H2166" s="49" t="s">
        <v>1245</v>
      </c>
      <c r="I2166" s="49" t="s">
        <v>129</v>
      </c>
      <c r="J2166" s="76">
        <v>-25.3</v>
      </c>
      <c r="K2166" s="83" t="str">
        <f>IFERROR(IFERROR(VLOOKUP(I2166,'DE-PARA'!B:D,3,0),VLOOKUP(I2166,'DE-PARA'!C:D,2,0)),"NÃO ENCONTRADO")</f>
        <v>Outras Saídas</v>
      </c>
      <c r="L2166" s="50" t="str">
        <f>VLOOKUP(K2166,'Base -Receita-Despesa'!$B:$P,1,FALSE)</f>
        <v>Outras Saídas</v>
      </c>
    </row>
    <row r="2167" spans="1:12" ht="15" customHeight="1" x14ac:dyDescent="0.3">
      <c r="A2167" s="82" t="str">
        <f t="shared" si="66"/>
        <v>2016</v>
      </c>
      <c r="B2167" s="72" t="s">
        <v>131</v>
      </c>
      <c r="C2167" s="73" t="s">
        <v>132</v>
      </c>
      <c r="D2167" s="74" t="str">
        <f t="shared" si="67"/>
        <v>ago/2016</v>
      </c>
      <c r="E2167" s="53">
        <v>42607</v>
      </c>
      <c r="F2167" s="75"/>
      <c r="G2167" s="72"/>
      <c r="H2167" s="49" t="s">
        <v>182</v>
      </c>
      <c r="I2167" s="49" t="s">
        <v>138</v>
      </c>
      <c r="J2167" s="76">
        <v>-4714.08</v>
      </c>
      <c r="K2167" s="83" t="str">
        <f>IFERROR(IFERROR(VLOOKUP(I2167,'DE-PARA'!B:D,3,0),VLOOKUP(I2167,'DE-PARA'!C:D,2,0)),"NÃO ENCONTRADO")</f>
        <v>Serviços</v>
      </c>
      <c r="L2167" s="50" t="str">
        <f>VLOOKUP(K2167,'Base -Receita-Despesa'!$B:$P,1,FALSE)</f>
        <v>Serviços</v>
      </c>
    </row>
    <row r="2168" spans="1:12" ht="15" customHeight="1" x14ac:dyDescent="0.3">
      <c r="A2168" s="82" t="str">
        <f t="shared" si="66"/>
        <v>2016</v>
      </c>
      <c r="B2168" s="72" t="s">
        <v>131</v>
      </c>
      <c r="C2168" s="73" t="s">
        <v>132</v>
      </c>
      <c r="D2168" s="74" t="str">
        <f t="shared" si="67"/>
        <v>ago/2016</v>
      </c>
      <c r="E2168" s="53">
        <v>42607</v>
      </c>
      <c r="F2168" s="75"/>
      <c r="G2168" s="72"/>
      <c r="H2168" s="49" t="s">
        <v>183</v>
      </c>
      <c r="I2168" s="49" t="s">
        <v>159</v>
      </c>
      <c r="J2168" s="76">
        <v>-982.31</v>
      </c>
      <c r="K2168" s="83" t="str">
        <f>IFERROR(IFERROR(VLOOKUP(I2168,'DE-PARA'!B:D,3,0),VLOOKUP(I2168,'DE-PARA'!C:D,2,0)),"NÃO ENCONTRADO")</f>
        <v>Materiais</v>
      </c>
      <c r="L2168" s="50" t="str">
        <f>VLOOKUP(K2168,'Base -Receita-Despesa'!$B:$P,1,FALSE)</f>
        <v>Materiais</v>
      </c>
    </row>
    <row r="2169" spans="1:12" ht="15" customHeight="1" x14ac:dyDescent="0.3">
      <c r="A2169" s="82" t="str">
        <f t="shared" si="66"/>
        <v>2016</v>
      </c>
      <c r="B2169" s="72" t="s">
        <v>131</v>
      </c>
      <c r="C2169" s="73" t="s">
        <v>132</v>
      </c>
      <c r="D2169" s="74" t="str">
        <f t="shared" si="67"/>
        <v>ago/2016</v>
      </c>
      <c r="E2169" s="53">
        <v>42611</v>
      </c>
      <c r="F2169" s="75"/>
      <c r="G2169" s="72"/>
      <c r="H2169" s="49" t="s">
        <v>1484</v>
      </c>
      <c r="I2169" s="49" t="s">
        <v>204</v>
      </c>
      <c r="J2169" s="76">
        <v>-2000</v>
      </c>
      <c r="K2169" s="83" t="str">
        <f>IFERROR(IFERROR(VLOOKUP(I2169,'DE-PARA'!B:D,3,0),VLOOKUP(I2169,'DE-PARA'!C:D,2,0)),"NÃO ENCONTRADO")</f>
        <v>Serviços</v>
      </c>
      <c r="L2169" s="50" t="str">
        <f>VLOOKUP(K2169,'Base -Receita-Despesa'!$B:$P,1,FALSE)</f>
        <v>Serviços</v>
      </c>
    </row>
    <row r="2170" spans="1:12" ht="15" customHeight="1" x14ac:dyDescent="0.3">
      <c r="A2170" s="82" t="str">
        <f t="shared" si="66"/>
        <v>2016</v>
      </c>
      <c r="B2170" s="72" t="s">
        <v>131</v>
      </c>
      <c r="C2170" s="73" t="s">
        <v>132</v>
      </c>
      <c r="D2170" s="74" t="str">
        <f t="shared" si="67"/>
        <v>ago/2016</v>
      </c>
      <c r="E2170" s="53">
        <v>42611</v>
      </c>
      <c r="F2170" s="75"/>
      <c r="G2170" s="72"/>
      <c r="H2170" s="49" t="s">
        <v>1484</v>
      </c>
      <c r="I2170" s="49" t="s">
        <v>204</v>
      </c>
      <c r="J2170" s="76">
        <v>-466.67</v>
      </c>
      <c r="K2170" s="83" t="str">
        <f>IFERROR(IFERROR(VLOOKUP(I2170,'DE-PARA'!B:D,3,0),VLOOKUP(I2170,'DE-PARA'!C:D,2,0)),"NÃO ENCONTRADO")</f>
        <v>Serviços</v>
      </c>
      <c r="L2170" s="50" t="str">
        <f>VLOOKUP(K2170,'Base -Receita-Despesa'!$B:$P,1,FALSE)</f>
        <v>Serviços</v>
      </c>
    </row>
    <row r="2171" spans="1:12" ht="15" customHeight="1" x14ac:dyDescent="0.3">
      <c r="A2171" s="82" t="str">
        <f t="shared" si="66"/>
        <v>2016</v>
      </c>
      <c r="B2171" s="72" t="s">
        <v>131</v>
      </c>
      <c r="C2171" s="73" t="s">
        <v>132</v>
      </c>
      <c r="D2171" s="74" t="str">
        <f t="shared" si="67"/>
        <v>ago/2016</v>
      </c>
      <c r="E2171" s="53">
        <v>42611</v>
      </c>
      <c r="F2171" s="75"/>
      <c r="G2171" s="72"/>
      <c r="H2171" s="49" t="s">
        <v>1484</v>
      </c>
      <c r="I2171" s="49" t="s">
        <v>204</v>
      </c>
      <c r="J2171" s="76">
        <v>-149.82</v>
      </c>
      <c r="K2171" s="83" t="str">
        <f>IFERROR(IFERROR(VLOOKUP(I2171,'DE-PARA'!B:D,3,0),VLOOKUP(I2171,'DE-PARA'!C:D,2,0)),"NÃO ENCONTRADO")</f>
        <v>Serviços</v>
      </c>
      <c r="L2171" s="50" t="str">
        <f>VLOOKUP(K2171,'Base -Receita-Despesa'!$B:$P,1,FALSE)</f>
        <v>Serviços</v>
      </c>
    </row>
    <row r="2172" spans="1:12" ht="15" customHeight="1" x14ac:dyDescent="0.3">
      <c r="A2172" s="82" t="str">
        <f t="shared" si="66"/>
        <v>2016</v>
      </c>
      <c r="B2172" s="72" t="s">
        <v>131</v>
      </c>
      <c r="C2172" s="73" t="s">
        <v>132</v>
      </c>
      <c r="D2172" s="74" t="str">
        <f t="shared" si="67"/>
        <v>ago/2016</v>
      </c>
      <c r="E2172" s="53">
        <v>42611</v>
      </c>
      <c r="F2172" s="75"/>
      <c r="G2172" s="72"/>
      <c r="H2172" s="49" t="s">
        <v>1484</v>
      </c>
      <c r="I2172" s="49" t="s">
        <v>204</v>
      </c>
      <c r="J2172" s="76">
        <v>-74.91</v>
      </c>
      <c r="K2172" s="83" t="str">
        <f>IFERROR(IFERROR(VLOOKUP(I2172,'DE-PARA'!B:D,3,0),VLOOKUP(I2172,'DE-PARA'!C:D,2,0)),"NÃO ENCONTRADO")</f>
        <v>Serviços</v>
      </c>
      <c r="L2172" s="50" t="str">
        <f>VLOOKUP(K2172,'Base -Receita-Despesa'!$B:$P,1,FALSE)</f>
        <v>Serviços</v>
      </c>
    </row>
    <row r="2173" spans="1:12" ht="15" customHeight="1" x14ac:dyDescent="0.3">
      <c r="A2173" s="82" t="str">
        <f t="shared" si="66"/>
        <v>2016</v>
      </c>
      <c r="B2173" s="72" t="s">
        <v>131</v>
      </c>
      <c r="C2173" s="73" t="s">
        <v>132</v>
      </c>
      <c r="D2173" s="74" t="str">
        <f t="shared" si="67"/>
        <v>ago/2016</v>
      </c>
      <c r="E2173" s="53">
        <v>42612</v>
      </c>
      <c r="F2173" s="75"/>
      <c r="G2173" s="72"/>
      <c r="H2173" s="49" t="s">
        <v>452</v>
      </c>
      <c r="I2173" s="49" t="s">
        <v>157</v>
      </c>
      <c r="J2173" s="76">
        <v>-5805.68</v>
      </c>
      <c r="K2173" s="83" t="str">
        <f>IFERROR(IFERROR(VLOOKUP(I2173,'DE-PARA'!B:D,3,0),VLOOKUP(I2173,'DE-PARA'!C:D,2,0)),"NÃO ENCONTRADO")</f>
        <v>Concessionárias (água, luz e telefone)</v>
      </c>
      <c r="L2173" s="50" t="str">
        <f>VLOOKUP(K2173,'Base -Receita-Despesa'!$B:$P,1,FALSE)</f>
        <v>Concessionárias (água, luz e telefone)</v>
      </c>
    </row>
    <row r="2174" spans="1:12" ht="15" customHeight="1" x14ac:dyDescent="0.3">
      <c r="A2174" s="82" t="str">
        <f t="shared" si="66"/>
        <v>2016</v>
      </c>
      <c r="B2174" s="72" t="s">
        <v>131</v>
      </c>
      <c r="C2174" s="73" t="s">
        <v>132</v>
      </c>
      <c r="D2174" s="74" t="str">
        <f t="shared" si="67"/>
        <v>ago/2016</v>
      </c>
      <c r="E2174" s="53">
        <v>42612</v>
      </c>
      <c r="F2174" s="75"/>
      <c r="G2174" s="72"/>
      <c r="H2174" s="49" t="s">
        <v>235</v>
      </c>
      <c r="I2174" s="49" t="s">
        <v>204</v>
      </c>
      <c r="J2174" s="76">
        <v>-2500</v>
      </c>
      <c r="K2174" s="83" t="str">
        <f>IFERROR(IFERROR(VLOOKUP(I2174,'DE-PARA'!B:D,3,0),VLOOKUP(I2174,'DE-PARA'!C:D,2,0)),"NÃO ENCONTRADO")</f>
        <v>Serviços</v>
      </c>
      <c r="L2174" s="50" t="str">
        <f>VLOOKUP(K2174,'Base -Receita-Despesa'!$B:$P,1,FALSE)</f>
        <v>Serviços</v>
      </c>
    </row>
    <row r="2175" spans="1:12" ht="15" customHeight="1" x14ac:dyDescent="0.3">
      <c r="A2175" s="82" t="str">
        <f t="shared" si="66"/>
        <v>2016</v>
      </c>
      <c r="B2175" s="72" t="s">
        <v>131</v>
      </c>
      <c r="C2175" s="73" t="s">
        <v>132</v>
      </c>
      <c r="D2175" s="74" t="str">
        <f t="shared" si="67"/>
        <v>ago/2016</v>
      </c>
      <c r="E2175" s="53">
        <v>42612</v>
      </c>
      <c r="F2175" s="75"/>
      <c r="G2175" s="72"/>
      <c r="H2175" s="49" t="s">
        <v>183</v>
      </c>
      <c r="I2175" s="49" t="s">
        <v>159</v>
      </c>
      <c r="J2175" s="76">
        <v>-1134.5</v>
      </c>
      <c r="K2175" s="83" t="str">
        <f>IFERROR(IFERROR(VLOOKUP(I2175,'DE-PARA'!B:D,3,0),VLOOKUP(I2175,'DE-PARA'!C:D,2,0)),"NÃO ENCONTRADO")</f>
        <v>Materiais</v>
      </c>
      <c r="L2175" s="50" t="str">
        <f>VLOOKUP(K2175,'Base -Receita-Despesa'!$B:$P,1,FALSE)</f>
        <v>Materiais</v>
      </c>
    </row>
    <row r="2176" spans="1:12" ht="15" customHeight="1" x14ac:dyDescent="0.3">
      <c r="A2176" s="82" t="str">
        <f t="shared" si="66"/>
        <v>2016</v>
      </c>
      <c r="B2176" s="72" t="s">
        <v>131</v>
      </c>
      <c r="C2176" s="73" t="s">
        <v>132</v>
      </c>
      <c r="D2176" s="74" t="str">
        <f t="shared" si="67"/>
        <v>ago/2016</v>
      </c>
      <c r="E2176" s="53">
        <v>42612</v>
      </c>
      <c r="F2176" s="75"/>
      <c r="G2176" s="72"/>
      <c r="H2176" s="49" t="s">
        <v>183</v>
      </c>
      <c r="I2176" s="49" t="s">
        <v>159</v>
      </c>
      <c r="J2176" s="76">
        <v>-799.98</v>
      </c>
      <c r="K2176" s="83" t="str">
        <f>IFERROR(IFERROR(VLOOKUP(I2176,'DE-PARA'!B:D,3,0),VLOOKUP(I2176,'DE-PARA'!C:D,2,0)),"NÃO ENCONTRADO")</f>
        <v>Materiais</v>
      </c>
      <c r="L2176" s="50" t="str">
        <f>VLOOKUP(K2176,'Base -Receita-Despesa'!$B:$P,1,FALSE)</f>
        <v>Materiais</v>
      </c>
    </row>
    <row r="2177" spans="1:12" ht="15" customHeight="1" x14ac:dyDescent="0.3">
      <c r="A2177" s="82" t="str">
        <f t="shared" si="66"/>
        <v>2016</v>
      </c>
      <c r="B2177" s="72" t="s">
        <v>131</v>
      </c>
      <c r="C2177" s="73" t="s">
        <v>132</v>
      </c>
      <c r="D2177" s="74" t="str">
        <f t="shared" si="67"/>
        <v>ago/2016</v>
      </c>
      <c r="E2177" s="53">
        <v>42612</v>
      </c>
      <c r="F2177" s="75"/>
      <c r="G2177" s="72"/>
      <c r="H2177" s="49" t="s">
        <v>328</v>
      </c>
      <c r="I2177" s="49" t="s">
        <v>159</v>
      </c>
      <c r="J2177" s="76">
        <v>-1613.39</v>
      </c>
      <c r="K2177" s="83" t="str">
        <f>IFERROR(IFERROR(VLOOKUP(I2177,'DE-PARA'!B:D,3,0),VLOOKUP(I2177,'DE-PARA'!C:D,2,0)),"NÃO ENCONTRADO")</f>
        <v>Materiais</v>
      </c>
      <c r="L2177" s="50" t="str">
        <f>VLOOKUP(K2177,'Base -Receita-Despesa'!$B:$P,1,FALSE)</f>
        <v>Materiais</v>
      </c>
    </row>
    <row r="2178" spans="1:12" ht="15" customHeight="1" x14ac:dyDescent="0.3">
      <c r="A2178" s="82" t="str">
        <f t="shared" si="66"/>
        <v>2016</v>
      </c>
      <c r="B2178" s="72" t="s">
        <v>131</v>
      </c>
      <c r="C2178" s="73" t="s">
        <v>132</v>
      </c>
      <c r="D2178" s="74" t="str">
        <f t="shared" si="67"/>
        <v>ago/2016</v>
      </c>
      <c r="E2178" s="53">
        <v>42612</v>
      </c>
      <c r="F2178" s="75"/>
      <c r="G2178" s="72"/>
      <c r="H2178" s="49" t="s">
        <v>1485</v>
      </c>
      <c r="I2178" s="49" t="s">
        <v>127</v>
      </c>
      <c r="J2178" s="76">
        <v>-1696.46</v>
      </c>
      <c r="K2178" s="83" t="str">
        <f>IFERROR(IFERROR(VLOOKUP(I2178,'DE-PARA'!B:D,3,0),VLOOKUP(I2178,'DE-PARA'!C:D,2,0)),"NÃO ENCONTRADO")</f>
        <v>Pessoal</v>
      </c>
      <c r="L2178" s="50" t="str">
        <f>VLOOKUP(K2178,'Base -Receita-Despesa'!$B:$P,1,FALSE)</f>
        <v>Pessoal</v>
      </c>
    </row>
    <row r="2179" spans="1:12" ht="15" customHeight="1" x14ac:dyDescent="0.3">
      <c r="A2179" s="82" t="str">
        <f t="shared" si="66"/>
        <v>2016</v>
      </c>
      <c r="B2179" s="72" t="s">
        <v>131</v>
      </c>
      <c r="C2179" s="73" t="s">
        <v>132</v>
      </c>
      <c r="D2179" s="74" t="str">
        <f t="shared" si="67"/>
        <v>ago/2016</v>
      </c>
      <c r="E2179" s="53">
        <v>42612</v>
      </c>
      <c r="F2179" s="75"/>
      <c r="G2179" s="72"/>
      <c r="H2179" s="49" t="s">
        <v>1486</v>
      </c>
      <c r="I2179" s="49" t="s">
        <v>127</v>
      </c>
      <c r="J2179" s="76">
        <v>-2324.4</v>
      </c>
      <c r="K2179" s="83" t="str">
        <f>IFERROR(IFERROR(VLOOKUP(I2179,'DE-PARA'!B:D,3,0),VLOOKUP(I2179,'DE-PARA'!C:D,2,0)),"NÃO ENCONTRADO")</f>
        <v>Pessoal</v>
      </c>
      <c r="L2179" s="50" t="str">
        <f>VLOOKUP(K2179,'Base -Receita-Despesa'!$B:$P,1,FALSE)</f>
        <v>Pessoal</v>
      </c>
    </row>
    <row r="2180" spans="1:12" ht="15" customHeight="1" x14ac:dyDescent="0.3">
      <c r="A2180" s="82" t="str">
        <f t="shared" ref="A2180:A2191" si="68">IF(K2180="NÃO ENCONTRADO",0,RIGHT(D2180,4))</f>
        <v>2016</v>
      </c>
      <c r="B2180" s="72" t="s">
        <v>131</v>
      </c>
      <c r="C2180" s="73" t="s">
        <v>132</v>
      </c>
      <c r="D2180" s="74" t="str">
        <f t="shared" ref="D2180:D2191" si="69">TEXT(E2180,"mmm/aaaa")</f>
        <v>ago/2016</v>
      </c>
      <c r="E2180" s="53">
        <v>42612</v>
      </c>
      <c r="F2180" s="75"/>
      <c r="G2180" s="72"/>
      <c r="H2180" s="49" t="s">
        <v>398</v>
      </c>
      <c r="I2180" s="49" t="s">
        <v>127</v>
      </c>
      <c r="J2180" s="76">
        <v>-3671.68</v>
      </c>
      <c r="K2180" s="83" t="str">
        <f>IFERROR(IFERROR(VLOOKUP(I2180,'DE-PARA'!B:D,3,0),VLOOKUP(I2180,'DE-PARA'!C:D,2,0)),"NÃO ENCONTRADO")</f>
        <v>Pessoal</v>
      </c>
      <c r="L2180" s="50" t="str">
        <f>VLOOKUP(K2180,'Base -Receita-Despesa'!$B:$P,1,FALSE)</f>
        <v>Pessoal</v>
      </c>
    </row>
    <row r="2181" spans="1:12" ht="15" customHeight="1" x14ac:dyDescent="0.3">
      <c r="A2181" s="82" t="str">
        <f t="shared" si="68"/>
        <v>2016</v>
      </c>
      <c r="B2181" s="72" t="s">
        <v>131</v>
      </c>
      <c r="C2181" s="73" t="s">
        <v>132</v>
      </c>
      <c r="D2181" s="74" t="str">
        <f t="shared" si="69"/>
        <v>ago/2016</v>
      </c>
      <c r="E2181" s="53">
        <v>42612</v>
      </c>
      <c r="F2181" s="75"/>
      <c r="G2181" s="72"/>
      <c r="H2181" s="49" t="s">
        <v>865</v>
      </c>
      <c r="I2181" s="49" t="s">
        <v>127</v>
      </c>
      <c r="J2181" s="76">
        <v>-1864.77</v>
      </c>
      <c r="K2181" s="83" t="str">
        <f>IFERROR(IFERROR(VLOOKUP(I2181,'DE-PARA'!B:D,3,0),VLOOKUP(I2181,'DE-PARA'!C:D,2,0)),"NÃO ENCONTRADO")</f>
        <v>Pessoal</v>
      </c>
      <c r="L2181" s="50" t="str">
        <f>VLOOKUP(K2181,'Base -Receita-Despesa'!$B:$P,1,FALSE)</f>
        <v>Pessoal</v>
      </c>
    </row>
    <row r="2182" spans="1:12" ht="15" customHeight="1" x14ac:dyDescent="0.3">
      <c r="A2182" s="82" t="str">
        <f t="shared" si="68"/>
        <v>2016</v>
      </c>
      <c r="B2182" s="72" t="s">
        <v>131</v>
      </c>
      <c r="C2182" s="73" t="s">
        <v>132</v>
      </c>
      <c r="D2182" s="74" t="str">
        <f t="shared" si="69"/>
        <v>ago/2016</v>
      </c>
      <c r="E2182" s="53">
        <v>42612</v>
      </c>
      <c r="F2182" s="75"/>
      <c r="G2182" s="72"/>
      <c r="H2182" s="49" t="s">
        <v>1263</v>
      </c>
      <c r="I2182" s="49" t="s">
        <v>127</v>
      </c>
      <c r="J2182" s="76">
        <v>-3913.54</v>
      </c>
      <c r="K2182" s="83" t="str">
        <f>IFERROR(IFERROR(VLOOKUP(I2182,'DE-PARA'!B:D,3,0),VLOOKUP(I2182,'DE-PARA'!C:D,2,0)),"NÃO ENCONTRADO")</f>
        <v>Pessoal</v>
      </c>
      <c r="L2182" s="50" t="str">
        <f>VLOOKUP(K2182,'Base -Receita-Despesa'!$B:$P,1,FALSE)</f>
        <v>Pessoal</v>
      </c>
    </row>
    <row r="2183" spans="1:12" ht="15" customHeight="1" x14ac:dyDescent="0.3">
      <c r="A2183" s="82" t="str">
        <f t="shared" si="68"/>
        <v>2016</v>
      </c>
      <c r="B2183" s="72" t="s">
        <v>131</v>
      </c>
      <c r="C2183" s="73" t="s">
        <v>132</v>
      </c>
      <c r="D2183" s="74" t="str">
        <f t="shared" si="69"/>
        <v>ago/2016</v>
      </c>
      <c r="E2183" s="53">
        <v>42612</v>
      </c>
      <c r="F2183" s="75"/>
      <c r="G2183" s="72"/>
      <c r="H2183" s="49" t="s">
        <v>1487</v>
      </c>
      <c r="I2183" s="49" t="s">
        <v>127</v>
      </c>
      <c r="J2183" s="76">
        <v>-1985.87</v>
      </c>
      <c r="K2183" s="83" t="str">
        <f>IFERROR(IFERROR(VLOOKUP(I2183,'DE-PARA'!B:D,3,0),VLOOKUP(I2183,'DE-PARA'!C:D,2,0)),"NÃO ENCONTRADO")</f>
        <v>Pessoal</v>
      </c>
      <c r="L2183" s="50" t="str">
        <f>VLOOKUP(K2183,'Base -Receita-Despesa'!$B:$P,1,FALSE)</f>
        <v>Pessoal</v>
      </c>
    </row>
    <row r="2184" spans="1:12" ht="15" customHeight="1" x14ac:dyDescent="0.3">
      <c r="A2184" s="82" t="str">
        <f t="shared" si="68"/>
        <v>2016</v>
      </c>
      <c r="B2184" s="72" t="s">
        <v>131</v>
      </c>
      <c r="C2184" s="73" t="s">
        <v>132</v>
      </c>
      <c r="D2184" s="74" t="str">
        <f t="shared" si="69"/>
        <v>ago/2016</v>
      </c>
      <c r="E2184" s="53">
        <v>42612</v>
      </c>
      <c r="F2184" s="75"/>
      <c r="G2184" s="72"/>
      <c r="H2184" s="49" t="s">
        <v>1488</v>
      </c>
      <c r="I2184" s="49" t="s">
        <v>127</v>
      </c>
      <c r="J2184" s="76">
        <v>-2133.25</v>
      </c>
      <c r="K2184" s="83" t="str">
        <f>IFERROR(IFERROR(VLOOKUP(I2184,'DE-PARA'!B:D,3,0),VLOOKUP(I2184,'DE-PARA'!C:D,2,0)),"NÃO ENCONTRADO")</f>
        <v>Pessoal</v>
      </c>
      <c r="L2184" s="50" t="str">
        <f>VLOOKUP(K2184,'Base -Receita-Despesa'!$B:$P,1,FALSE)</f>
        <v>Pessoal</v>
      </c>
    </row>
    <row r="2185" spans="1:12" ht="15" customHeight="1" x14ac:dyDescent="0.3">
      <c r="A2185" s="82" t="str">
        <f t="shared" si="68"/>
        <v>2016</v>
      </c>
      <c r="B2185" s="72" t="s">
        <v>131</v>
      </c>
      <c r="C2185" s="73" t="s">
        <v>132</v>
      </c>
      <c r="D2185" s="74" t="str">
        <f t="shared" si="69"/>
        <v>ago/2016</v>
      </c>
      <c r="E2185" s="53">
        <v>42612</v>
      </c>
      <c r="F2185" s="75"/>
      <c r="G2185" s="72"/>
      <c r="H2185" s="49" t="s">
        <v>1055</v>
      </c>
      <c r="I2185" s="49" t="s">
        <v>1056</v>
      </c>
      <c r="J2185" s="76">
        <v>26664.42</v>
      </c>
      <c r="K2185" s="83" t="str">
        <f>IFERROR(IFERROR(VLOOKUP(I2185,'DE-PARA'!B:D,3,0),VLOOKUP(I2185,'DE-PARA'!C:D,2,0)),"NÃO ENCONTRADO")</f>
        <v>ENTRADA CONTA APLICAÇÃO (+)</v>
      </c>
      <c r="L2185" s="50" t="str">
        <f>VLOOKUP(K2185,'Base -Receita-Despesa'!$B:$P,1,FALSE)</f>
        <v>ENTRADA CONTA APLICAÇÃO (+)</v>
      </c>
    </row>
    <row r="2186" spans="1:12" ht="15" customHeight="1" x14ac:dyDescent="0.3">
      <c r="A2186" s="82" t="str">
        <f t="shared" si="68"/>
        <v>2016</v>
      </c>
      <c r="B2186" s="72" t="s">
        <v>1039</v>
      </c>
      <c r="C2186" s="73" t="s">
        <v>132</v>
      </c>
      <c r="D2186" s="74" t="str">
        <f t="shared" si="69"/>
        <v>ago/2016</v>
      </c>
      <c r="E2186" s="53">
        <v>42613</v>
      </c>
      <c r="F2186" s="75" t="s">
        <v>239</v>
      </c>
      <c r="G2186" s="72"/>
      <c r="H2186" s="49" t="s">
        <v>1398</v>
      </c>
      <c r="I2186" s="49" t="s">
        <v>240</v>
      </c>
      <c r="J2186" s="76">
        <v>4.4999999999999929</v>
      </c>
      <c r="K2186" s="83" t="str">
        <f>IFERROR(IFERROR(VLOOKUP(I2186,'DE-PARA'!B:D,3,0),VLOOKUP(I2186,'DE-PARA'!C:D,2,0)),"NÃO ENCONTRADO")</f>
        <v>Rendimentos sobre Aplicações Financeiras</v>
      </c>
      <c r="L2186" s="50" t="str">
        <f>VLOOKUP(K2186,'Base -Receita-Despesa'!$B:$P,1,FALSE)</f>
        <v>Rendimentos sobre Aplicações Financeiras</v>
      </c>
    </row>
    <row r="2187" spans="1:12" ht="15" customHeight="1" x14ac:dyDescent="0.3">
      <c r="A2187" s="82" t="str">
        <f t="shared" si="68"/>
        <v>2016</v>
      </c>
      <c r="B2187" s="72" t="s">
        <v>238</v>
      </c>
      <c r="C2187" s="73" t="s">
        <v>132</v>
      </c>
      <c r="D2187" s="74" t="str">
        <f t="shared" si="69"/>
        <v>ago/2016</v>
      </c>
      <c r="E2187" s="53">
        <v>42613</v>
      </c>
      <c r="F2187" s="75" t="s">
        <v>239</v>
      </c>
      <c r="G2187" s="72"/>
      <c r="H2187" s="49" t="s">
        <v>1398</v>
      </c>
      <c r="I2187" s="49" t="s">
        <v>240</v>
      </c>
      <c r="J2187" s="76">
        <v>641.94999999999993</v>
      </c>
      <c r="K2187" s="83" t="str">
        <f>IFERROR(IFERROR(VLOOKUP(I2187,'DE-PARA'!B:D,3,0),VLOOKUP(I2187,'DE-PARA'!C:D,2,0)),"NÃO ENCONTRADO")</f>
        <v>Rendimentos sobre Aplicações Financeiras</v>
      </c>
      <c r="L2187" s="50" t="str">
        <f>VLOOKUP(K2187,'Base -Receita-Despesa'!$B:$P,1,FALSE)</f>
        <v>Rendimentos sobre Aplicações Financeiras</v>
      </c>
    </row>
    <row r="2188" spans="1:12" ht="15" customHeight="1" x14ac:dyDescent="0.3">
      <c r="A2188" s="82" t="str">
        <f t="shared" si="68"/>
        <v>2016</v>
      </c>
      <c r="B2188" s="72" t="s">
        <v>1037</v>
      </c>
      <c r="C2188" s="73" t="s">
        <v>132</v>
      </c>
      <c r="D2188" s="74" t="str">
        <f t="shared" si="69"/>
        <v>ago/2016</v>
      </c>
      <c r="E2188" s="53">
        <v>42613</v>
      </c>
      <c r="F2188" s="75" t="s">
        <v>239</v>
      </c>
      <c r="G2188" s="72"/>
      <c r="H2188" s="49" t="s">
        <v>1398</v>
      </c>
      <c r="I2188" s="49" t="s">
        <v>240</v>
      </c>
      <c r="J2188" s="76">
        <v>10.050000000000001</v>
      </c>
      <c r="K2188" s="83" t="str">
        <f>IFERROR(IFERROR(VLOOKUP(I2188,'DE-PARA'!B:D,3,0),VLOOKUP(I2188,'DE-PARA'!C:D,2,0)),"NÃO ENCONTRADO")</f>
        <v>Rendimentos sobre Aplicações Financeiras</v>
      </c>
      <c r="L2188" s="50" t="str">
        <f>VLOOKUP(K2188,'Base -Receita-Despesa'!$B:$P,1,FALSE)</f>
        <v>Rendimentos sobre Aplicações Financeiras</v>
      </c>
    </row>
    <row r="2189" spans="1:12" ht="15" customHeight="1" x14ac:dyDescent="0.3">
      <c r="A2189" s="82" t="str">
        <f t="shared" si="68"/>
        <v>2016</v>
      </c>
      <c r="B2189" s="72" t="s">
        <v>131</v>
      </c>
      <c r="C2189" s="73" t="s">
        <v>132</v>
      </c>
      <c r="D2189" s="74" t="str">
        <f t="shared" si="69"/>
        <v>ago/2016</v>
      </c>
      <c r="E2189" s="53">
        <v>42613</v>
      </c>
      <c r="F2189" s="75"/>
      <c r="G2189" s="72"/>
      <c r="H2189" s="49" t="s">
        <v>1250</v>
      </c>
      <c r="I2189" s="49" t="s">
        <v>153</v>
      </c>
      <c r="J2189" s="76">
        <v>22</v>
      </c>
      <c r="K2189" s="83" t="str">
        <f>IFERROR(IFERROR(VLOOKUP(I2189,'DE-PARA'!B:D,3,0),VLOOKUP(I2189,'DE-PARA'!C:D,2,0)),"NÃO ENCONTRADO")</f>
        <v>Outras Saídas</v>
      </c>
      <c r="L2189" s="50" t="str">
        <f>VLOOKUP(K2189,'Base -Receita-Despesa'!$B:$P,1,FALSE)</f>
        <v>Outras Saídas</v>
      </c>
    </row>
    <row r="2190" spans="1:12" ht="15" customHeight="1" x14ac:dyDescent="0.3">
      <c r="A2190" s="82" t="str">
        <f t="shared" si="68"/>
        <v>2016</v>
      </c>
      <c r="B2190" s="72" t="s">
        <v>131</v>
      </c>
      <c r="C2190" s="73" t="s">
        <v>132</v>
      </c>
      <c r="D2190" s="74" t="str">
        <f t="shared" si="69"/>
        <v>ago/2016</v>
      </c>
      <c r="E2190" s="53">
        <v>42613</v>
      </c>
      <c r="F2190" s="75"/>
      <c r="G2190" s="72"/>
      <c r="H2190" s="49" t="s">
        <v>328</v>
      </c>
      <c r="I2190" s="49" t="s">
        <v>159</v>
      </c>
      <c r="J2190" s="76">
        <v>-1833.69</v>
      </c>
      <c r="K2190" s="83" t="str">
        <f>IFERROR(IFERROR(VLOOKUP(I2190,'DE-PARA'!B:D,3,0),VLOOKUP(I2190,'DE-PARA'!C:D,2,0)),"NÃO ENCONTRADO")</f>
        <v>Materiais</v>
      </c>
      <c r="L2190" s="50" t="str">
        <f>VLOOKUP(K2190,'Base -Receita-Despesa'!$B:$P,1,FALSE)</f>
        <v>Materiais</v>
      </c>
    </row>
    <row r="2191" spans="1:12" ht="15" customHeight="1" x14ac:dyDescent="0.3">
      <c r="A2191" s="82" t="str">
        <f t="shared" si="68"/>
        <v>2016</v>
      </c>
      <c r="B2191" s="72" t="s">
        <v>131</v>
      </c>
      <c r="C2191" s="73" t="s">
        <v>132</v>
      </c>
      <c r="D2191" s="74" t="str">
        <f t="shared" si="69"/>
        <v>ago/2016</v>
      </c>
      <c r="E2191" s="53">
        <v>42613</v>
      </c>
      <c r="F2191" s="75"/>
      <c r="G2191" s="72"/>
      <c r="H2191" s="49" t="s">
        <v>1055</v>
      </c>
      <c r="I2191" s="49" t="s">
        <v>1056</v>
      </c>
      <c r="J2191" s="76">
        <v>1811.69</v>
      </c>
      <c r="K2191" s="83" t="str">
        <f>IFERROR(IFERROR(VLOOKUP(I2191,'DE-PARA'!B:D,3,0),VLOOKUP(I2191,'DE-PARA'!C:D,2,0)),"NÃO ENCONTRADO")</f>
        <v>ENTRADA CONTA APLICAÇÃO (+)</v>
      </c>
      <c r="L2191" s="50" t="str">
        <f>VLOOKUP(K2191,'Base -Receita-Despesa'!$B:$P,1,FALSE)</f>
        <v>ENTRADA CONTA APLICAÇÃO (+)</v>
      </c>
    </row>
  </sheetData>
  <autoFilter ref="B3:L3" xr:uid="{00000000-0001-0000-0400-000000000000}">
    <sortState xmlns:xlrd2="http://schemas.microsoft.com/office/spreadsheetml/2017/richdata2" ref="B4:L21329">
      <sortCondition ref="E3"/>
    </sortState>
  </autoFilter>
  <conditionalFormatting sqref="K4:K2191">
    <cfRule type="cellIs" dxfId="0" priority="5" operator="equal">
      <formula>"NÃO ENCONTRADO"</formula>
    </cfRule>
  </conditionalFormatting>
  <pageMargins left="0.25" right="0.25" top="0.75" bottom="0.75" header="0.3" footer="0.3"/>
  <pageSetup paperSize="9" scale="55"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400-000002000000}">
          <x14:formula1>
            <xm:f>'C:\Users\pedro\Downloads\[FLUXO DE CAIXA - PIRENOPOLIS.1.0 - 2016.xlsx]LISTA'!#REF!</xm:f>
          </x14:formula1>
          <xm:sqref>I12 I21:I22 I28:I29 I69 I117 I186 I236:I237 I338 I346 I353 I364 I371:I372 I391 I406:I407 I411 I434 I490:I491 I536:I537 I559 I576 I588:I589 I635:I637 I666 I773 I786 I801 I851 I914:I915 I924 I936 I938 I947 I970 I995 I997 I1011:I1012 I1019 I1042 I1045 I1081 I1111 I1137:I1139 I1184 I1328 I1337 I1353:I1354 I1367 I1381 I1385 I1390 I1401 I1406 I1426:I1427 I1454 I1475 I1477 I1499 I1501 I1524 I1526 I1537 I1554:I1555 I1595 I1617 I1644 I1662 I1727 I1745 I1774 I1802 I1813 I1829 I1842 I1863 I1871 I1886 I1911 I1940 I1960 I2027:I2028 I2049 I2099 I2138 I2165 I2174</xm:sqref>
        </x14:dataValidation>
        <x14:dataValidation type="list" allowBlank="1" showInputMessage="1" showErrorMessage="1" xr:uid="{00000000-0002-0000-0400-000004000000}">
          <x14:formula1>
            <xm:f>'C:\Users\pedro\Downloads\[FLUXO CAIXA - 2018 - Dezembro - PIRENOPOLIS.1.0.xlsx]LISTA'!#REF!</xm:f>
          </x14:formula1>
          <xm:sqref>I1 I4:I11 I13:I20 I23:I27 I30:I68 I70:I116 I118:I185 I187:I235 I238:I337 I347:I352 I354:I363 I365:I370 I373:I390 I392:I405 I408:I410 I412:I433 I339:I345 I492:I535 I538:I558 I560:I575 I577:I587 I590:I634 I638:I665 I667:I772 I774:I785 I787:I800 I802:I850 I435:I489 I852:I913 I925:I935 I937 I939:I946 I948:I969 I971:I994 I996 I916:I923 I1013:I1018 I1020:I1041 I1043:I1044 I998:I1010 I1046:I1080 I1112:I1136 I1140:I1183 I1082:I1110 I1185:I1327 I1338:I1352 I1355:I1366 I1368:I1380 I1382:I1384 I1386:I1389 I1391:I1400 I1402:I1405 I1329:I1336 I1428:I1453 I1455:I1474 I1476 I1478:I1498 I1500 I1502:I1523 I1525 I1527:I1536 I1538:I1553 I1556:I1594 I1596:I1616 I1618:I1643 I1407:I1425 I1663:I1726 I1728:I1744 I1645:I1661 I1746:I1773 I1803:I1812 I1814:I1828 I1830:I1841 I1775:I1801 I1864:I1870 I1872:I1885 I1887:I1910 I1843:I1862 I1941:I1959 I1961:I2026 I1912:I1939 I2050:I2098 I2029:I2048 I2100:I2137 I2166:I2173 I2175:I2191 I2139:I2164 I2192:I1048576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125"/>
  <sheetViews>
    <sheetView showGridLines="0" zoomScale="85" zoomScaleNormal="85" workbookViewId="0">
      <pane ySplit="3" topLeftCell="A94" activePane="bottomLeft" state="frozen"/>
      <selection pane="bottomLeft" activeCell="B105" sqref="B105"/>
    </sheetView>
  </sheetViews>
  <sheetFormatPr defaultColWidth="9.109375" defaultRowHeight="13.8" x14ac:dyDescent="0.3"/>
  <cols>
    <col min="1" max="1" width="9.109375" style="56"/>
    <col min="2" max="2" width="48.44140625" style="56" customWidth="1"/>
    <col min="3" max="3" width="28.109375" style="56" bestFit="1" customWidth="1"/>
    <col min="4" max="4" width="30.6640625" style="55" bestFit="1" customWidth="1"/>
    <col min="5" max="5" width="9.109375" style="55"/>
    <col min="6" max="9" width="9.109375" style="56"/>
    <col min="10" max="10" width="41.33203125" style="1" customWidth="1"/>
    <col min="11" max="16384" width="9.109375" style="56"/>
  </cols>
  <sheetData>
    <row r="1" spans="2:10" ht="12" x14ac:dyDescent="0.3">
      <c r="B1" s="54"/>
      <c r="C1" s="54"/>
      <c r="J1" s="56"/>
    </row>
    <row r="2" spans="2:10" ht="14.4" thickBot="1" x14ac:dyDescent="0.35">
      <c r="B2" s="54"/>
      <c r="C2" s="54"/>
    </row>
    <row r="3" spans="2:10" ht="12.6" thickBot="1" x14ac:dyDescent="0.35">
      <c r="B3" s="85" t="s">
        <v>108</v>
      </c>
      <c r="C3" s="85" t="s">
        <v>1590</v>
      </c>
      <c r="D3" s="86" t="s">
        <v>109</v>
      </c>
      <c r="J3" s="279" t="s">
        <v>37</v>
      </c>
    </row>
    <row r="4" spans="2:10" ht="12" x14ac:dyDescent="0.3">
      <c r="B4" s="87"/>
      <c r="C4" s="87"/>
      <c r="D4" s="88"/>
      <c r="J4" s="279"/>
    </row>
    <row r="5" spans="2:10" ht="13.2" x14ac:dyDescent="0.3">
      <c r="B5" s="89"/>
      <c r="C5" s="89"/>
      <c r="D5" s="88"/>
      <c r="J5" s="2"/>
    </row>
    <row r="6" spans="2:10" x14ac:dyDescent="0.3">
      <c r="B6" s="90">
        <v>42309</v>
      </c>
      <c r="C6" s="90"/>
      <c r="D6" s="88"/>
      <c r="J6" s="3" t="s">
        <v>50</v>
      </c>
    </row>
    <row r="7" spans="2:10" x14ac:dyDescent="0.3">
      <c r="B7" s="91" t="s">
        <v>1494</v>
      </c>
      <c r="C7" s="91"/>
      <c r="D7" s="88"/>
      <c r="J7" s="1" t="s">
        <v>51</v>
      </c>
    </row>
    <row r="8" spans="2:10" x14ac:dyDescent="0.3">
      <c r="B8" s="92" t="s">
        <v>1495</v>
      </c>
      <c r="C8" s="92"/>
      <c r="D8" s="88"/>
      <c r="J8" s="1" t="s">
        <v>52</v>
      </c>
    </row>
    <row r="9" spans="2:10" x14ac:dyDescent="0.3">
      <c r="B9" s="93"/>
      <c r="C9" s="93"/>
      <c r="D9" s="88"/>
      <c r="J9" s="1" t="s">
        <v>53</v>
      </c>
    </row>
    <row r="10" spans="2:10" x14ac:dyDescent="0.3">
      <c r="B10" s="94" t="s">
        <v>1496</v>
      </c>
      <c r="C10" s="94"/>
      <c r="D10" s="88"/>
      <c r="J10" s="1" t="s">
        <v>54</v>
      </c>
    </row>
    <row r="11" spans="2:10" x14ac:dyDescent="0.3">
      <c r="B11" s="95" t="s">
        <v>1497</v>
      </c>
      <c r="C11" s="95"/>
      <c r="D11" s="88" t="str">
        <f>J16</f>
        <v>Repasses Contrato de Gestão</v>
      </c>
      <c r="J11" s="1" t="s">
        <v>55</v>
      </c>
    </row>
    <row r="12" spans="2:10" x14ac:dyDescent="0.3">
      <c r="B12" s="96" t="s">
        <v>1498</v>
      </c>
      <c r="C12" s="96"/>
      <c r="D12" s="88" t="str">
        <f>J16</f>
        <v>Repasses Contrato de Gestão</v>
      </c>
    </row>
    <row r="13" spans="2:10" x14ac:dyDescent="0.3">
      <c r="B13" s="95" t="s">
        <v>1499</v>
      </c>
      <c r="C13" s="95" t="s">
        <v>1563</v>
      </c>
      <c r="D13" s="88" t="s">
        <v>82</v>
      </c>
      <c r="J13" s="4" t="s">
        <v>56</v>
      </c>
    </row>
    <row r="14" spans="2:10" ht="13.2" x14ac:dyDescent="0.3">
      <c r="B14" s="95" t="s">
        <v>1500</v>
      </c>
      <c r="C14" s="95"/>
      <c r="D14" s="88" t="str">
        <f>J17</f>
        <v>Rendimentos sobre Aplicações Financeiras</v>
      </c>
      <c r="J14" s="48"/>
    </row>
    <row r="15" spans="2:10" x14ac:dyDescent="0.3">
      <c r="B15" s="96" t="s">
        <v>1501</v>
      </c>
      <c r="C15" s="96"/>
      <c r="D15" s="88" t="str">
        <f>J20</f>
        <v>Outras entradas (desbloqueio judicial)</v>
      </c>
      <c r="J15" s="3" t="s">
        <v>58</v>
      </c>
    </row>
    <row r="16" spans="2:10" x14ac:dyDescent="0.3">
      <c r="B16" s="93"/>
      <c r="C16" s="93"/>
      <c r="D16" s="88"/>
      <c r="J16" s="57" t="s">
        <v>59</v>
      </c>
    </row>
    <row r="17" spans="2:10" x14ac:dyDescent="0.3">
      <c r="B17" s="97" t="s">
        <v>1502</v>
      </c>
      <c r="C17" s="97"/>
      <c r="D17" s="88"/>
      <c r="J17" s="57" t="s">
        <v>60</v>
      </c>
    </row>
    <row r="18" spans="2:10" x14ac:dyDescent="0.3">
      <c r="B18" s="98" t="s">
        <v>1503</v>
      </c>
      <c r="C18" s="98"/>
      <c r="D18" s="88"/>
      <c r="J18" s="58" t="s">
        <v>61</v>
      </c>
    </row>
    <row r="19" spans="2:10" x14ac:dyDescent="0.3">
      <c r="B19" s="93"/>
      <c r="C19" s="93"/>
      <c r="D19" s="88"/>
      <c r="J19" s="58" t="s">
        <v>62</v>
      </c>
    </row>
    <row r="20" spans="2:10" x14ac:dyDescent="0.3">
      <c r="B20" s="99" t="s">
        <v>1504</v>
      </c>
      <c r="C20" s="99"/>
      <c r="D20" s="88"/>
      <c r="J20" s="57" t="s">
        <v>63</v>
      </c>
    </row>
    <row r="21" spans="2:10" ht="27" x14ac:dyDescent="0.3">
      <c r="B21" s="96" t="s">
        <v>135</v>
      </c>
      <c r="C21" s="96"/>
      <c r="D21" s="88" t="str">
        <f>$J$33</f>
        <v>Pessoal</v>
      </c>
      <c r="J21" s="58" t="s">
        <v>64</v>
      </c>
    </row>
    <row r="22" spans="2:10" x14ac:dyDescent="0.3">
      <c r="B22" s="96" t="s">
        <v>122</v>
      </c>
      <c r="C22" s="96"/>
      <c r="D22" s="88" t="str">
        <f>$J$46</f>
        <v>Encargos sobre Folha de Pagamento</v>
      </c>
      <c r="J22" s="5" t="s">
        <v>65</v>
      </c>
    </row>
    <row r="23" spans="2:10" x14ac:dyDescent="0.3">
      <c r="B23" s="96" t="s">
        <v>186</v>
      </c>
      <c r="C23" s="96"/>
      <c r="D23" s="88" t="str">
        <f>$J$46</f>
        <v>Encargos sobre Folha de Pagamento</v>
      </c>
      <c r="J23" s="1" t="s">
        <v>66</v>
      </c>
    </row>
    <row r="24" spans="2:10" x14ac:dyDescent="0.3">
      <c r="B24" s="96" t="s">
        <v>185</v>
      </c>
      <c r="C24" s="96"/>
      <c r="D24" s="88" t="str">
        <f>$J$46</f>
        <v>Encargos sobre Folha de Pagamento</v>
      </c>
      <c r="J24" s="1" t="s">
        <v>67</v>
      </c>
    </row>
    <row r="25" spans="2:10" x14ac:dyDescent="0.3">
      <c r="B25" s="95" t="s">
        <v>168</v>
      </c>
      <c r="C25" s="95"/>
      <c r="D25" s="88" t="str">
        <f t="shared" ref="D25:D32" si="0">$J$33</f>
        <v>Pessoal</v>
      </c>
      <c r="J25" s="4" t="s">
        <v>68</v>
      </c>
    </row>
    <row r="26" spans="2:10" x14ac:dyDescent="0.3">
      <c r="B26" s="95" t="s">
        <v>127</v>
      </c>
      <c r="C26" s="95"/>
      <c r="D26" s="88" t="str">
        <f t="shared" si="0"/>
        <v>Pessoal</v>
      </c>
      <c r="J26" s="5"/>
    </row>
    <row r="27" spans="2:10" x14ac:dyDescent="0.3">
      <c r="B27" s="96" t="s">
        <v>1493</v>
      </c>
      <c r="C27" s="96"/>
      <c r="D27" s="88" t="str">
        <f t="shared" si="0"/>
        <v>Pessoal</v>
      </c>
      <c r="J27" s="1" t="s">
        <v>70</v>
      </c>
    </row>
    <row r="28" spans="2:10" x14ac:dyDescent="0.3">
      <c r="B28" s="96" t="s">
        <v>124</v>
      </c>
      <c r="C28" s="96"/>
      <c r="D28" s="88" t="s">
        <v>13</v>
      </c>
      <c r="J28" s="1" t="s">
        <v>71</v>
      </c>
    </row>
    <row r="29" spans="2:10" x14ac:dyDescent="0.3">
      <c r="B29" s="96" t="s">
        <v>1505</v>
      </c>
      <c r="C29" s="96"/>
      <c r="D29" s="88" t="str">
        <f t="shared" si="0"/>
        <v>Pessoal</v>
      </c>
      <c r="J29" s="1" t="s">
        <v>72</v>
      </c>
    </row>
    <row r="30" spans="2:10" ht="27" x14ac:dyDescent="0.3">
      <c r="B30" s="95" t="s">
        <v>1506</v>
      </c>
      <c r="C30" s="95"/>
      <c r="D30" s="88" t="str">
        <f t="shared" si="0"/>
        <v>Pessoal</v>
      </c>
      <c r="J30" s="4" t="s">
        <v>73</v>
      </c>
    </row>
    <row r="31" spans="2:10" x14ac:dyDescent="0.3">
      <c r="B31" s="95" t="s">
        <v>1507</v>
      </c>
      <c r="C31" s="95"/>
      <c r="D31" s="88" t="str">
        <f t="shared" si="0"/>
        <v>Pessoal</v>
      </c>
    </row>
    <row r="32" spans="2:10" x14ac:dyDescent="0.3">
      <c r="B32" s="96" t="s">
        <v>830</v>
      </c>
      <c r="C32" s="96"/>
      <c r="D32" s="88" t="str">
        <f t="shared" si="0"/>
        <v>Pessoal</v>
      </c>
      <c r="J32" s="59" t="s">
        <v>10</v>
      </c>
    </row>
    <row r="33" spans="2:10" x14ac:dyDescent="0.3">
      <c r="B33" s="96"/>
      <c r="C33" s="96"/>
      <c r="D33" s="88"/>
      <c r="J33" s="59" t="s">
        <v>75</v>
      </c>
    </row>
    <row r="34" spans="2:10" x14ac:dyDescent="0.3">
      <c r="B34" s="99" t="s">
        <v>1508</v>
      </c>
      <c r="C34" s="99"/>
      <c r="D34" s="88"/>
      <c r="J34" s="59" t="s">
        <v>76</v>
      </c>
    </row>
    <row r="35" spans="2:10" x14ac:dyDescent="0.3">
      <c r="B35" s="100" t="s">
        <v>1509</v>
      </c>
      <c r="C35" s="100"/>
      <c r="D35" s="88"/>
      <c r="J35" s="59" t="s">
        <v>77</v>
      </c>
    </row>
    <row r="36" spans="2:10" x14ac:dyDescent="0.3">
      <c r="B36" s="95" t="s">
        <v>1510</v>
      </c>
      <c r="C36" s="95" t="s">
        <v>159</v>
      </c>
      <c r="D36" s="88" t="str">
        <f t="shared" ref="D36:D42" si="1">$J$35</f>
        <v>Materiais</v>
      </c>
      <c r="J36" s="59" t="s">
        <v>78</v>
      </c>
    </row>
    <row r="37" spans="2:10" x14ac:dyDescent="0.3">
      <c r="B37" s="95" t="s">
        <v>1511</v>
      </c>
      <c r="C37" s="95"/>
      <c r="D37" s="88" t="str">
        <f t="shared" si="1"/>
        <v>Materiais</v>
      </c>
      <c r="J37" s="59" t="s">
        <v>79</v>
      </c>
    </row>
    <row r="38" spans="2:10" x14ac:dyDescent="0.3">
      <c r="B38" s="95" t="s">
        <v>1512</v>
      </c>
      <c r="C38" s="95"/>
      <c r="D38" s="88" t="str">
        <f t="shared" si="1"/>
        <v>Materiais</v>
      </c>
      <c r="J38" s="59" t="s">
        <v>80</v>
      </c>
    </row>
    <row r="39" spans="2:10" x14ac:dyDescent="0.3">
      <c r="B39" s="95" t="s">
        <v>1513</v>
      </c>
      <c r="C39" s="95"/>
      <c r="D39" s="88" t="str">
        <f t="shared" si="1"/>
        <v>Materiais</v>
      </c>
      <c r="J39" s="1" t="s">
        <v>81</v>
      </c>
    </row>
    <row r="40" spans="2:10" x14ac:dyDescent="0.3">
      <c r="B40" s="96" t="s">
        <v>189</v>
      </c>
      <c r="C40" s="96"/>
      <c r="D40" s="88" t="str">
        <f t="shared" si="1"/>
        <v>Materiais</v>
      </c>
      <c r="J40" s="59" t="s">
        <v>13</v>
      </c>
    </row>
    <row r="41" spans="2:10" x14ac:dyDescent="0.3">
      <c r="B41" s="95" t="s">
        <v>1514</v>
      </c>
      <c r="C41" s="95"/>
      <c r="D41" s="88" t="str">
        <f t="shared" si="1"/>
        <v>Materiais</v>
      </c>
      <c r="J41" s="59" t="s">
        <v>82</v>
      </c>
    </row>
    <row r="42" spans="2:10" x14ac:dyDescent="0.3">
      <c r="B42" s="95" t="s">
        <v>1515</v>
      </c>
      <c r="C42" s="95"/>
      <c r="D42" s="88" t="str">
        <f t="shared" si="1"/>
        <v>Materiais</v>
      </c>
      <c r="J42" s="59" t="s">
        <v>83</v>
      </c>
    </row>
    <row r="43" spans="2:10" x14ac:dyDescent="0.3">
      <c r="B43" s="100" t="s">
        <v>1516</v>
      </c>
      <c r="C43" s="100"/>
      <c r="D43" s="88"/>
      <c r="J43" s="1" t="s">
        <v>84</v>
      </c>
    </row>
    <row r="44" spans="2:10" x14ac:dyDescent="0.3">
      <c r="B44" s="95" t="s">
        <v>1517</v>
      </c>
      <c r="C44" s="95" t="s">
        <v>167</v>
      </c>
      <c r="D44" s="88" t="str">
        <f>$J$35</f>
        <v>Materiais</v>
      </c>
      <c r="J44" s="59" t="s">
        <v>85</v>
      </c>
    </row>
    <row r="45" spans="2:10" x14ac:dyDescent="0.3">
      <c r="B45" s="95" t="s">
        <v>1518</v>
      </c>
      <c r="C45" s="95"/>
      <c r="D45" s="88" t="str">
        <f t="shared" ref="D45:D53" si="2">$J$35</f>
        <v>Materiais</v>
      </c>
      <c r="J45" s="1" t="s">
        <v>86</v>
      </c>
    </row>
    <row r="46" spans="2:10" x14ac:dyDescent="0.3">
      <c r="B46" s="95" t="s">
        <v>1519</v>
      </c>
      <c r="C46" s="95"/>
      <c r="D46" s="88" t="str">
        <f t="shared" si="2"/>
        <v>Materiais</v>
      </c>
      <c r="J46" s="59" t="s">
        <v>87</v>
      </c>
    </row>
    <row r="47" spans="2:10" x14ac:dyDescent="0.3">
      <c r="B47" s="95" t="s">
        <v>1520</v>
      </c>
      <c r="C47" s="95"/>
      <c r="D47" s="88" t="str">
        <f t="shared" si="2"/>
        <v>Materiais</v>
      </c>
      <c r="J47" s="1" t="s">
        <v>88</v>
      </c>
    </row>
    <row r="48" spans="2:10" x14ac:dyDescent="0.3">
      <c r="B48" s="96" t="s">
        <v>223</v>
      </c>
      <c r="C48" s="96"/>
      <c r="D48" s="88" t="str">
        <f t="shared" si="2"/>
        <v>Materiais</v>
      </c>
      <c r="J48" s="1" t="s">
        <v>89</v>
      </c>
    </row>
    <row r="49" spans="2:10" x14ac:dyDescent="0.3">
      <c r="B49" s="96" t="s">
        <v>1521</v>
      </c>
      <c r="C49" s="96" t="s">
        <v>177</v>
      </c>
      <c r="D49" s="88" t="str">
        <f t="shared" si="2"/>
        <v>Materiais</v>
      </c>
      <c r="J49" s="5" t="s">
        <v>90</v>
      </c>
    </row>
    <row r="50" spans="2:10" x14ac:dyDescent="0.3">
      <c r="B50" s="96" t="s">
        <v>150</v>
      </c>
      <c r="C50" s="96"/>
      <c r="D50" s="88" t="str">
        <f t="shared" si="2"/>
        <v>Materiais</v>
      </c>
    </row>
    <row r="51" spans="2:10" x14ac:dyDescent="0.3">
      <c r="B51" s="95" t="s">
        <v>1522</v>
      </c>
      <c r="C51" s="95"/>
      <c r="D51" s="88" t="str">
        <f t="shared" si="2"/>
        <v>Materiais</v>
      </c>
    </row>
    <row r="52" spans="2:10" x14ac:dyDescent="0.3">
      <c r="B52" s="95" t="s">
        <v>1523</v>
      </c>
      <c r="C52" s="95" t="s">
        <v>192</v>
      </c>
      <c r="D52" s="88" t="str">
        <f t="shared" si="2"/>
        <v>Materiais</v>
      </c>
      <c r="J52" s="4" t="s">
        <v>91</v>
      </c>
    </row>
    <row r="53" spans="2:10" x14ac:dyDescent="0.3">
      <c r="B53" s="96" t="s">
        <v>196</v>
      </c>
      <c r="C53" s="96"/>
      <c r="D53" s="88" t="str">
        <f t="shared" si="2"/>
        <v>Materiais</v>
      </c>
      <c r="J53" s="6"/>
    </row>
    <row r="54" spans="2:10" x14ac:dyDescent="0.3">
      <c r="B54" s="99" t="s">
        <v>1524</v>
      </c>
      <c r="C54" s="99"/>
      <c r="D54" s="88"/>
      <c r="J54" s="1" t="s">
        <v>93</v>
      </c>
    </row>
    <row r="55" spans="2:10" x14ac:dyDescent="0.3">
      <c r="B55" s="100" t="s">
        <v>1525</v>
      </c>
      <c r="C55" s="100"/>
      <c r="D55" s="88"/>
      <c r="J55" s="1" t="s">
        <v>94</v>
      </c>
    </row>
    <row r="56" spans="2:10" x14ac:dyDescent="0.3">
      <c r="B56" s="96" t="s">
        <v>1526</v>
      </c>
      <c r="C56" s="96"/>
      <c r="D56" s="88" t="str">
        <f>$J$34</f>
        <v>Serviços</v>
      </c>
      <c r="J56" s="1" t="s">
        <v>95</v>
      </c>
    </row>
    <row r="57" spans="2:10" x14ac:dyDescent="0.3">
      <c r="B57" s="96" t="s">
        <v>1527</v>
      </c>
      <c r="C57" s="96"/>
      <c r="D57" s="88" t="str">
        <f t="shared" ref="D57:D67" si="3">$J$34</f>
        <v>Serviços</v>
      </c>
      <c r="J57" s="1" t="s">
        <v>96</v>
      </c>
    </row>
    <row r="58" spans="2:10" ht="24" x14ac:dyDescent="0.3">
      <c r="B58" s="96" t="s">
        <v>1528</v>
      </c>
      <c r="C58" s="96"/>
      <c r="D58" s="88" t="str">
        <f t="shared" si="3"/>
        <v>Serviços</v>
      </c>
      <c r="J58" s="7" t="s">
        <v>97</v>
      </c>
    </row>
    <row r="59" spans="2:10" x14ac:dyDescent="0.3">
      <c r="B59" s="96" t="s">
        <v>1529</v>
      </c>
      <c r="C59" s="96"/>
      <c r="D59" s="88" t="str">
        <f t="shared" si="3"/>
        <v>Serviços</v>
      </c>
      <c r="J59" s="4" t="s">
        <v>98</v>
      </c>
    </row>
    <row r="60" spans="2:10" x14ac:dyDescent="0.3">
      <c r="B60" s="96" t="s">
        <v>1530</v>
      </c>
      <c r="C60" s="96" t="s">
        <v>1561</v>
      </c>
      <c r="D60" s="88" t="str">
        <f t="shared" si="3"/>
        <v>Serviços</v>
      </c>
    </row>
    <row r="61" spans="2:10" x14ac:dyDescent="0.3">
      <c r="B61" s="96" t="s">
        <v>1531</v>
      </c>
      <c r="C61" s="96" t="s">
        <v>1562</v>
      </c>
      <c r="D61" s="88" t="str">
        <f t="shared" si="3"/>
        <v>Serviços</v>
      </c>
      <c r="J61" s="1" t="s">
        <v>100</v>
      </c>
    </row>
    <row r="62" spans="2:10" x14ac:dyDescent="0.3">
      <c r="B62" s="96" t="s">
        <v>180</v>
      </c>
      <c r="C62" s="96"/>
      <c r="D62" s="88" t="str">
        <f t="shared" si="3"/>
        <v>Serviços</v>
      </c>
      <c r="J62" s="1" t="s">
        <v>101</v>
      </c>
    </row>
    <row r="63" spans="2:10" x14ac:dyDescent="0.3">
      <c r="B63" s="96" t="s">
        <v>1532</v>
      </c>
      <c r="C63" s="96"/>
      <c r="D63" s="88" t="str">
        <f t="shared" si="3"/>
        <v>Serviços</v>
      </c>
      <c r="J63" s="5" t="s">
        <v>102</v>
      </c>
    </row>
    <row r="64" spans="2:10" x14ac:dyDescent="0.3">
      <c r="B64" s="95" t="s">
        <v>1533</v>
      </c>
      <c r="C64" s="95"/>
      <c r="D64" s="88" t="str">
        <f t="shared" si="3"/>
        <v>Serviços</v>
      </c>
      <c r="J64" s="1" t="s">
        <v>51</v>
      </c>
    </row>
    <row r="65" spans="2:10" x14ac:dyDescent="0.3">
      <c r="B65" s="95" t="s">
        <v>1534</v>
      </c>
      <c r="C65" s="95"/>
      <c r="D65" s="88" t="str">
        <f t="shared" si="3"/>
        <v>Serviços</v>
      </c>
      <c r="J65" s="1" t="s">
        <v>103</v>
      </c>
    </row>
    <row r="66" spans="2:10" x14ac:dyDescent="0.3">
      <c r="B66" s="96" t="s">
        <v>1535</v>
      </c>
      <c r="C66" s="96"/>
      <c r="D66" s="88" t="str">
        <f t="shared" si="3"/>
        <v>Serviços</v>
      </c>
      <c r="J66" s="1" t="s">
        <v>104</v>
      </c>
    </row>
    <row r="67" spans="2:10" x14ac:dyDescent="0.3">
      <c r="B67" s="96" t="s">
        <v>1536</v>
      </c>
      <c r="C67" s="96"/>
      <c r="D67" s="88" t="str">
        <f t="shared" si="3"/>
        <v>Serviços</v>
      </c>
      <c r="J67" s="5" t="s">
        <v>54</v>
      </c>
    </row>
    <row r="68" spans="2:10" x14ac:dyDescent="0.3">
      <c r="B68" s="100" t="s">
        <v>1537</v>
      </c>
      <c r="C68" s="100"/>
      <c r="D68" s="88"/>
      <c r="J68" s="5" t="s">
        <v>105</v>
      </c>
    </row>
    <row r="69" spans="2:10" x14ac:dyDescent="0.3">
      <c r="B69" s="96" t="s">
        <v>428</v>
      </c>
      <c r="C69" s="96"/>
      <c r="D69" s="88" t="str">
        <f>J44</f>
        <v>Aluguéis</v>
      </c>
      <c r="J69" s="1" t="s">
        <v>106</v>
      </c>
    </row>
    <row r="70" spans="2:10" ht="14.4" x14ac:dyDescent="0.3">
      <c r="B70" s="96" t="s">
        <v>148</v>
      </c>
      <c r="C70" s="96"/>
      <c r="D70" s="88" t="str">
        <f>$J$36</f>
        <v>Concessionárias (água, luz e telefone)</v>
      </c>
      <c r="J70" s="8" t="s">
        <v>107</v>
      </c>
    </row>
    <row r="71" spans="2:10" x14ac:dyDescent="0.3">
      <c r="B71" s="96" t="s">
        <v>157</v>
      </c>
      <c r="C71" s="96"/>
      <c r="D71" s="88" t="str">
        <f>$J$36</f>
        <v>Concessionárias (água, luz e telefone)</v>
      </c>
      <c r="J71" s="9"/>
    </row>
    <row r="72" spans="2:10" x14ac:dyDescent="0.3">
      <c r="B72" s="95" t="s">
        <v>144</v>
      </c>
      <c r="C72" s="95"/>
      <c r="D72" s="88" t="str">
        <f>$J$36</f>
        <v>Concessionárias (água, luz e telefone)</v>
      </c>
      <c r="J72" s="9"/>
    </row>
    <row r="73" spans="2:10" x14ac:dyDescent="0.3">
      <c r="B73" s="96" t="s">
        <v>181</v>
      </c>
      <c r="C73" s="96"/>
      <c r="D73" s="88" t="str">
        <f>$J$36</f>
        <v>Concessionárias (água, luz e telefone)</v>
      </c>
      <c r="J73" s="9"/>
    </row>
    <row r="74" spans="2:10" x14ac:dyDescent="0.3">
      <c r="B74" s="96" t="s">
        <v>1601</v>
      </c>
      <c r="C74" s="96"/>
      <c r="D74" s="88" t="str">
        <f>$J$36</f>
        <v>Concessionárias (água, luz e telefone)</v>
      </c>
      <c r="J74" s="9"/>
    </row>
    <row r="75" spans="2:10" x14ac:dyDescent="0.3">
      <c r="B75" s="96" t="s">
        <v>1538</v>
      </c>
      <c r="C75" s="96" t="s">
        <v>194</v>
      </c>
      <c r="D75" s="88" t="str">
        <f>J42</f>
        <v>Despesas com Viagens</v>
      </c>
      <c r="J75" s="9"/>
    </row>
    <row r="76" spans="2:10" x14ac:dyDescent="0.3">
      <c r="B76" s="96" t="s">
        <v>515</v>
      </c>
      <c r="C76" s="96"/>
      <c r="D76" s="88" t="str">
        <f t="shared" ref="D76:D93" si="4">$J$34</f>
        <v>Serviços</v>
      </c>
      <c r="J76" s="9"/>
    </row>
    <row r="77" spans="2:10" x14ac:dyDescent="0.3">
      <c r="B77" s="96" t="s">
        <v>191</v>
      </c>
      <c r="C77" s="96"/>
      <c r="D77" s="88" t="str">
        <f t="shared" si="4"/>
        <v>Serviços</v>
      </c>
      <c r="J77" s="9"/>
    </row>
    <row r="78" spans="2:10" x14ac:dyDescent="0.3">
      <c r="B78" s="96" t="s">
        <v>206</v>
      </c>
      <c r="C78" s="96"/>
      <c r="D78" s="88" t="str">
        <f t="shared" si="4"/>
        <v>Serviços</v>
      </c>
      <c r="J78" s="9"/>
    </row>
    <row r="79" spans="2:10" x14ac:dyDescent="0.3">
      <c r="B79" s="96" t="s">
        <v>114</v>
      </c>
      <c r="C79" s="96"/>
      <c r="D79" s="88" t="str">
        <f t="shared" si="4"/>
        <v>Serviços</v>
      </c>
      <c r="J79" s="9"/>
    </row>
    <row r="80" spans="2:10" x14ac:dyDescent="0.3">
      <c r="B80" s="96" t="s">
        <v>111</v>
      </c>
      <c r="C80" s="96"/>
      <c r="D80" s="88" t="str">
        <f t="shared" si="4"/>
        <v>Serviços</v>
      </c>
    </row>
    <row r="81" spans="2:10" x14ac:dyDescent="0.3">
      <c r="B81" s="96" t="s">
        <v>1539</v>
      </c>
      <c r="C81" s="96"/>
      <c r="D81" s="88" t="str">
        <f t="shared" si="4"/>
        <v>Serviços</v>
      </c>
    </row>
    <row r="82" spans="2:10" x14ac:dyDescent="0.3">
      <c r="B82" s="96" t="s">
        <v>138</v>
      </c>
      <c r="C82" s="96"/>
      <c r="D82" s="88" t="str">
        <f t="shared" si="4"/>
        <v>Serviços</v>
      </c>
    </row>
    <row r="83" spans="2:10" x14ac:dyDescent="0.3">
      <c r="B83" s="96" t="s">
        <v>113</v>
      </c>
      <c r="C83" s="96"/>
      <c r="D83" s="88" t="str">
        <f t="shared" si="4"/>
        <v>Serviços</v>
      </c>
      <c r="J83" s="5"/>
    </row>
    <row r="84" spans="2:10" x14ac:dyDescent="0.3">
      <c r="B84" s="96" t="s">
        <v>173</v>
      </c>
      <c r="C84" s="96"/>
      <c r="D84" s="88" t="str">
        <f t="shared" si="4"/>
        <v>Serviços</v>
      </c>
    </row>
    <row r="85" spans="2:10" x14ac:dyDescent="0.3">
      <c r="B85" s="96" t="s">
        <v>1540</v>
      </c>
      <c r="C85" s="96"/>
      <c r="D85" s="88" t="str">
        <f t="shared" si="4"/>
        <v>Serviços</v>
      </c>
    </row>
    <row r="86" spans="2:10" x14ac:dyDescent="0.3">
      <c r="B86" s="96" t="s">
        <v>169</v>
      </c>
      <c r="C86" s="96"/>
      <c r="D86" s="88" t="str">
        <f t="shared" si="4"/>
        <v>Serviços</v>
      </c>
    </row>
    <row r="87" spans="2:10" x14ac:dyDescent="0.3">
      <c r="B87" s="96" t="s">
        <v>231</v>
      </c>
      <c r="C87" s="96"/>
      <c r="D87" s="88" t="str">
        <f t="shared" si="4"/>
        <v>Serviços</v>
      </c>
    </row>
    <row r="88" spans="2:10" x14ac:dyDescent="0.3">
      <c r="B88" s="96" t="s">
        <v>171</v>
      </c>
      <c r="C88" s="96"/>
      <c r="D88" s="88" t="str">
        <f t="shared" si="4"/>
        <v>Serviços</v>
      </c>
    </row>
    <row r="89" spans="2:10" x14ac:dyDescent="0.3">
      <c r="B89" s="96" t="s">
        <v>204</v>
      </c>
      <c r="C89" s="96"/>
      <c r="D89" s="88" t="str">
        <f t="shared" si="4"/>
        <v>Serviços</v>
      </c>
      <c r="J89" s="5"/>
    </row>
    <row r="90" spans="2:10" x14ac:dyDescent="0.3">
      <c r="B90" s="96" t="s">
        <v>1541</v>
      </c>
      <c r="C90" s="96"/>
      <c r="D90" s="88" t="str">
        <f t="shared" si="4"/>
        <v>Serviços</v>
      </c>
    </row>
    <row r="91" spans="2:10" x14ac:dyDescent="0.3">
      <c r="B91" s="96" t="s">
        <v>603</v>
      </c>
      <c r="C91" s="96"/>
      <c r="D91" s="88" t="str">
        <f t="shared" si="4"/>
        <v>Serviços</v>
      </c>
    </row>
    <row r="92" spans="2:10" x14ac:dyDescent="0.3">
      <c r="B92" s="95" t="s">
        <v>115</v>
      </c>
      <c r="C92" s="95"/>
      <c r="D92" s="88" t="str">
        <f t="shared" si="4"/>
        <v>Serviços</v>
      </c>
    </row>
    <row r="93" spans="2:10" x14ac:dyDescent="0.3">
      <c r="B93" s="95" t="s">
        <v>110</v>
      </c>
      <c r="C93" s="95" t="s">
        <v>112</v>
      </c>
      <c r="D93" s="88" t="str">
        <f t="shared" si="4"/>
        <v>Serviços</v>
      </c>
    </row>
    <row r="94" spans="2:10" x14ac:dyDescent="0.3">
      <c r="B94" s="99" t="s">
        <v>1542</v>
      </c>
      <c r="C94" s="99"/>
      <c r="D94" s="88"/>
    </row>
    <row r="95" spans="2:10" x14ac:dyDescent="0.3">
      <c r="B95" s="96" t="s">
        <v>529</v>
      </c>
      <c r="C95" s="96"/>
      <c r="D95" s="88" t="str">
        <f>J37</f>
        <v>Tributos, Taxas e Contribuições</v>
      </c>
      <c r="J95" s="5"/>
    </row>
    <row r="96" spans="2:10" x14ac:dyDescent="0.3">
      <c r="B96" s="96" t="s">
        <v>129</v>
      </c>
      <c r="C96" s="96"/>
      <c r="D96" s="88" t="str">
        <f>J38</f>
        <v>Outras Saídas</v>
      </c>
    </row>
    <row r="97" spans="2:10" x14ac:dyDescent="0.3">
      <c r="B97" s="96" t="s">
        <v>550</v>
      </c>
      <c r="C97" s="96"/>
      <c r="D97" s="88" t="s">
        <v>80</v>
      </c>
    </row>
    <row r="98" spans="2:10" x14ac:dyDescent="0.3">
      <c r="B98" s="96" t="s">
        <v>1543</v>
      </c>
      <c r="C98" s="96"/>
      <c r="D98" s="88" t="s">
        <v>80</v>
      </c>
    </row>
    <row r="99" spans="2:10" x14ac:dyDescent="0.3">
      <c r="B99" s="96" t="s">
        <v>153</v>
      </c>
      <c r="C99" s="96"/>
      <c r="D99" s="88" t="s">
        <v>80</v>
      </c>
    </row>
    <row r="100" spans="2:10" x14ac:dyDescent="0.3">
      <c r="B100" s="99" t="s">
        <v>1544</v>
      </c>
      <c r="C100" s="99"/>
      <c r="D100" s="88"/>
    </row>
    <row r="101" spans="2:10" x14ac:dyDescent="0.3">
      <c r="B101" s="96" t="s">
        <v>1545</v>
      </c>
      <c r="C101" s="96"/>
      <c r="D101" s="88" t="s">
        <v>10</v>
      </c>
      <c r="J101" s="5"/>
    </row>
    <row r="102" spans="2:10" x14ac:dyDescent="0.3">
      <c r="B102" s="96" t="s">
        <v>1546</v>
      </c>
      <c r="C102" s="96"/>
      <c r="D102" s="88" t="s">
        <v>10</v>
      </c>
      <c r="J102" s="5"/>
    </row>
    <row r="103" spans="2:10" x14ac:dyDescent="0.3">
      <c r="B103" s="96" t="s">
        <v>317</v>
      </c>
      <c r="C103" s="93"/>
      <c r="D103" s="88" t="s">
        <v>10</v>
      </c>
      <c r="J103" s="5"/>
    </row>
    <row r="104" spans="2:10" x14ac:dyDescent="0.3">
      <c r="B104" s="96"/>
      <c r="C104" s="93"/>
      <c r="D104" s="88"/>
      <c r="J104" s="5"/>
    </row>
    <row r="105" spans="2:10" x14ac:dyDescent="0.3">
      <c r="B105" s="96" t="s">
        <v>1558</v>
      </c>
      <c r="C105" s="93"/>
      <c r="D105" s="88" t="s">
        <v>1591</v>
      </c>
      <c r="J105" s="5"/>
    </row>
    <row r="106" spans="2:10" x14ac:dyDescent="0.3">
      <c r="B106" s="96" t="s">
        <v>1048</v>
      </c>
      <c r="C106" s="93"/>
      <c r="D106" s="88" t="s">
        <v>1592</v>
      </c>
      <c r="J106" s="5"/>
    </row>
    <row r="107" spans="2:10" x14ac:dyDescent="0.3">
      <c r="B107" s="96" t="s">
        <v>121</v>
      </c>
      <c r="C107" s="93"/>
      <c r="D107" s="88" t="s">
        <v>100</v>
      </c>
      <c r="G107" s="104"/>
      <c r="J107" s="5"/>
    </row>
    <row r="108" spans="2:10" x14ac:dyDescent="0.3">
      <c r="B108" s="96" t="s">
        <v>240</v>
      </c>
      <c r="C108" s="93"/>
      <c r="D108" s="88" t="s">
        <v>60</v>
      </c>
      <c r="G108" s="104"/>
      <c r="J108" s="5"/>
    </row>
    <row r="109" spans="2:10" x14ac:dyDescent="0.3">
      <c r="B109" s="96" t="s">
        <v>210</v>
      </c>
      <c r="C109" s="93"/>
      <c r="D109" s="88" t="s">
        <v>10</v>
      </c>
      <c r="G109" s="104"/>
      <c r="J109" s="5"/>
    </row>
    <row r="110" spans="2:10" x14ac:dyDescent="0.3">
      <c r="B110" s="96" t="s">
        <v>1056</v>
      </c>
      <c r="C110" s="93"/>
      <c r="D110" s="88" t="s">
        <v>70</v>
      </c>
      <c r="G110" s="105"/>
      <c r="J110" s="5"/>
    </row>
    <row r="111" spans="2:10" x14ac:dyDescent="0.3">
      <c r="B111" s="94" t="s">
        <v>1492</v>
      </c>
      <c r="C111" s="94"/>
      <c r="D111" s="88" t="s">
        <v>82</v>
      </c>
      <c r="G111" s="104" t="s">
        <v>100</v>
      </c>
    </row>
    <row r="112" spans="2:10" x14ac:dyDescent="0.3">
      <c r="B112" s="94" t="s">
        <v>1547</v>
      </c>
      <c r="C112" s="94"/>
      <c r="D112" s="88"/>
      <c r="G112" s="104" t="s">
        <v>101</v>
      </c>
    </row>
    <row r="113" spans="2:10" x14ac:dyDescent="0.3">
      <c r="B113" s="89"/>
      <c r="C113" s="89"/>
      <c r="D113" s="88"/>
    </row>
    <row r="114" spans="2:10" x14ac:dyDescent="0.3">
      <c r="B114" s="101" t="s">
        <v>1495</v>
      </c>
      <c r="C114" s="101"/>
      <c r="D114" s="88"/>
    </row>
    <row r="115" spans="2:10" x14ac:dyDescent="0.3">
      <c r="B115" s="101" t="s">
        <v>1548</v>
      </c>
      <c r="C115" s="101"/>
      <c r="D115" s="88"/>
    </row>
    <row r="116" spans="2:10" x14ac:dyDescent="0.3">
      <c r="B116" s="101" t="s">
        <v>1549</v>
      </c>
      <c r="C116" s="101"/>
      <c r="D116" s="88"/>
    </row>
    <row r="117" spans="2:10" x14ac:dyDescent="0.3">
      <c r="B117" s="102" t="s">
        <v>1550</v>
      </c>
      <c r="C117" s="102"/>
      <c r="D117" s="103"/>
    </row>
    <row r="118" spans="2:10" x14ac:dyDescent="0.3">
      <c r="B118" s="60"/>
      <c r="C118" s="60"/>
    </row>
    <row r="119" spans="2:10" x14ac:dyDescent="0.3">
      <c r="B119" s="60"/>
      <c r="C119" s="60"/>
    </row>
    <row r="120" spans="2:10" x14ac:dyDescent="0.3">
      <c r="B120" s="60"/>
      <c r="C120" s="60"/>
    </row>
    <row r="121" spans="2:10" x14ac:dyDescent="0.3">
      <c r="B121" s="60"/>
      <c r="C121" s="60"/>
    </row>
    <row r="122" spans="2:10" s="55" customFormat="1" x14ac:dyDescent="0.3">
      <c r="B122" s="60"/>
      <c r="C122" s="60"/>
      <c r="F122" s="56"/>
      <c r="G122" s="56"/>
      <c r="H122" s="56"/>
      <c r="I122" s="56"/>
      <c r="J122" s="1"/>
    </row>
    <row r="123" spans="2:10" s="55" customFormat="1" x14ac:dyDescent="0.3">
      <c r="B123" s="60"/>
      <c r="C123" s="60"/>
      <c r="F123" s="56"/>
      <c r="G123" s="56"/>
      <c r="H123" s="56"/>
      <c r="I123" s="56"/>
      <c r="J123" s="1"/>
    </row>
    <row r="124" spans="2:10" s="55" customFormat="1" x14ac:dyDescent="0.3">
      <c r="B124" s="60"/>
      <c r="C124" s="60"/>
      <c r="F124" s="56"/>
      <c r="G124" s="56"/>
      <c r="H124" s="56"/>
      <c r="I124" s="56"/>
      <c r="J124" s="1"/>
    </row>
    <row r="125" spans="2:10" s="55" customFormat="1" x14ac:dyDescent="0.3">
      <c r="B125" s="60"/>
      <c r="C125" s="60"/>
      <c r="F125" s="56"/>
      <c r="G125" s="56"/>
      <c r="H125" s="56"/>
      <c r="I125" s="56"/>
      <c r="J125" s="1"/>
    </row>
  </sheetData>
  <autoFilter ref="B3:D117" xr:uid="{00000000-0009-0000-0000-000005000000}"/>
  <mergeCells count="1">
    <mergeCell ref="J3:J4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AC7A74F953344FAE905A2FF123FB08" ma:contentTypeVersion="17" ma:contentTypeDescription="Crie um novo documento." ma:contentTypeScope="" ma:versionID="40aee66b745bc686fc9e5b254a0e17c4">
  <xsd:schema xmlns:xsd="http://www.w3.org/2001/XMLSchema" xmlns:xs="http://www.w3.org/2001/XMLSchema" xmlns:p="http://schemas.microsoft.com/office/2006/metadata/properties" xmlns:ns2="8449fb77-b140-4b1d-8065-e846ea591e56" xmlns:ns3="014ec290-d3eb-4ba4-b7a4-da2fb663ba86" xmlns:ns4="c1178b72-d3f5-4356-be28-21acd058a982" targetNamespace="http://schemas.microsoft.com/office/2006/metadata/properties" ma:root="true" ma:fieldsID="eb510986a9bb7c74d24deba981e19d6d" ns2:_="" ns3:_="" ns4:_="">
    <xsd:import namespace="8449fb77-b140-4b1d-8065-e846ea591e56"/>
    <xsd:import namespace="014ec290-d3eb-4ba4-b7a4-da2fb663ba86"/>
    <xsd:import namespace="c1178b72-d3f5-4356-be28-21acd058a9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_dlc_DocId" minOccurs="0"/>
                <xsd:element ref="ns4:_dlc_DocIdUrl" minOccurs="0"/>
                <xsd:element ref="ns4:_dlc_DocIdPersistId" minOccurs="0"/>
                <xsd:element ref="ns3:N_x00ba_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fb77-b140-4b1d-8065-e846ea591e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ec290-d3eb-4ba4-b7a4-da2fb663ba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_x00ba_" ma:index="24" nillable="true" ma:displayName="Nº" ma:format="Dropdown" ma:internalName="N_x00ba_" ma:percentage="FALSE">
      <xsd:simpleType>
        <xsd:restriction base="dms:Number"/>
      </xsd:simpleType>
    </xsd:element>
    <xsd:element name="lcf76f155ced4ddcb4097134ff3c332f" ma:index="26" nillable="true" ma:taxonomy="true" ma:internalName="lcf76f155ced4ddcb4097134ff3c332f" ma:taxonomyFieldName="MediaServiceImageTags" ma:displayName="Marcações de imagem" ma:readOnly="false" ma:fieldId="{5cf76f15-5ced-4ddc-b409-7134ff3c332f}" ma:taxonomyMulti="true" ma:sspId="e917985a-5278-4a60-9e6a-ee3756dd4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78b72-d3f5-4356-be28-21acd058a982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22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7" nillable="true" ma:displayName="Taxonomy Catch All Column" ma:hidden="true" ma:list="{83530018-1981-48d1-9aa6-adba1bb7c09e}" ma:internalName="TaxCatchAll" ma:showField="CatchAllData" ma:web="c1178b72-d3f5-4356-be28-21acd058a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ba_ xmlns="014ec290-d3eb-4ba4-b7a4-da2fb663ba86" xsi:nil="true"/>
    <lcf76f155ced4ddcb4097134ff3c332f xmlns="014ec290-d3eb-4ba4-b7a4-da2fb663ba86">
      <Terms xmlns="http://schemas.microsoft.com/office/infopath/2007/PartnerControls"/>
    </lcf76f155ced4ddcb4097134ff3c332f>
    <TaxCatchAll xmlns="c1178b72-d3f5-4356-be28-21acd058a982" xsi:nil="true"/>
    <_dlc_DocId xmlns="c1178b72-d3f5-4356-be28-21acd058a982">DOCID-2020503232-2446286</_dlc_DocId>
    <_dlc_DocIdUrl xmlns="c1178b72-d3f5-4356-be28-21acd058a982">
      <Url>https://ibghorg.sharepoint.com/documentos/_layouts/15/DocIdRedir.aspx?ID=DOCID-2020503232-2446286</Url>
      <Description>DOCID-2020503232-2446286</Description>
    </_dlc_DocIdUrl>
  </documentManagement>
</p:properties>
</file>

<file path=customXml/itemProps1.xml><?xml version="1.0" encoding="utf-8"?>
<ds:datastoreItem xmlns:ds="http://schemas.openxmlformats.org/officeDocument/2006/customXml" ds:itemID="{A7BD41CA-2A8C-4611-AD9A-31F24F492767}"/>
</file>

<file path=customXml/itemProps2.xml><?xml version="1.0" encoding="utf-8"?>
<ds:datastoreItem xmlns:ds="http://schemas.openxmlformats.org/officeDocument/2006/customXml" ds:itemID="{A48CC15D-90BF-4179-8E6F-58EB19D8E169}"/>
</file>

<file path=customXml/itemProps3.xml><?xml version="1.0" encoding="utf-8"?>
<ds:datastoreItem xmlns:ds="http://schemas.openxmlformats.org/officeDocument/2006/customXml" ds:itemID="{263E2E6E-9889-4F10-AA5B-25770AB3CB4B}"/>
</file>

<file path=customXml/itemProps4.xml><?xml version="1.0" encoding="utf-8"?>
<ds:datastoreItem xmlns:ds="http://schemas.openxmlformats.org/officeDocument/2006/customXml" ds:itemID="{EC81588B-6007-4330-877D-C7138EA589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6.4 - FLUXO CAIXA</vt:lpstr>
      <vt:lpstr>Base -Receita-Despesa</vt:lpstr>
      <vt:lpstr>6.5 - PESSOAL</vt:lpstr>
      <vt:lpstr>HEELJ - Saldos Bancários</vt:lpstr>
      <vt:lpstr>Conciliação Bancária 2016.17.18</vt:lpstr>
      <vt:lpstr>DE-PARA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jean-mb</dc:creator>
  <cp:lastModifiedBy>IBGH_SEDE</cp:lastModifiedBy>
  <cp:revision>43</cp:revision>
  <cp:lastPrinted>2022-09-16T18:34:05Z</cp:lastPrinted>
  <dcterms:created xsi:type="dcterms:W3CDTF">2019-09-24T20:16:00Z</dcterms:created>
  <dcterms:modified xsi:type="dcterms:W3CDTF">2022-09-16T18:34:09Z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0x0101005CAC7A74F953344FAE905A2FF123FB08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  <property fmtid="{D5CDD505-2E9C-101B-9397-08002B2CF9AE}" pid="7" name="ICV">
    <vt:lpwstr>FDDCAACA7CFE4940AC27A9F5FE6BF4C4</vt:lpwstr>
  </property>
  <property fmtid="{D5CDD505-2E9C-101B-9397-08002B2CF9AE}" pid="8" name="KSOProductBuildVer">
    <vt:lpwstr>1046-11.2.0.11254</vt:lpwstr>
  </property>
  <property fmtid="{D5CDD505-2E9C-101B-9397-08002B2CF9AE}" pid="9" name="_dlc_DocIdItemGuid">
    <vt:lpwstr>b4289891-c955-41d4-b9ed-c5760b6381e3</vt:lpwstr>
  </property>
</Properties>
</file>